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40A6EBCD-2517-439F-986C-557FB00225A2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Rozpis cen dokumentů" sheetId="12" r:id="rId1"/>
    <sheet name="Strat. dokumenty" sheetId="10" r:id="rId2"/>
    <sheet name="Ceny všech jednoduchá tab.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5" l="1"/>
  <c r="G66" i="15" l="1"/>
  <c r="D68" i="15"/>
  <c r="G67" i="15"/>
  <c r="G65" i="15"/>
  <c r="G64" i="15"/>
  <c r="G53" i="15"/>
  <c r="G54" i="15"/>
  <c r="G55" i="15"/>
  <c r="G56" i="15"/>
  <c r="G57" i="15"/>
  <c r="G58" i="15"/>
  <c r="G52" i="15"/>
  <c r="G46" i="15"/>
  <c r="G45" i="15"/>
  <c r="G35" i="15"/>
  <c r="G36" i="15"/>
  <c r="G37" i="15"/>
  <c r="G38" i="15"/>
  <c r="G39" i="15"/>
  <c r="G34" i="15"/>
  <c r="G18" i="15"/>
  <c r="G19" i="15"/>
  <c r="G20" i="15"/>
  <c r="G21" i="15"/>
  <c r="G22" i="15"/>
  <c r="G23" i="15"/>
  <c r="G24" i="15"/>
  <c r="G25" i="15"/>
  <c r="G26" i="15"/>
  <c r="G27" i="15"/>
  <c r="G28" i="15"/>
  <c r="G17" i="15"/>
  <c r="G9" i="15"/>
  <c r="G10" i="15"/>
  <c r="G11" i="15"/>
  <c r="G12" i="15"/>
  <c r="D59" i="15"/>
  <c r="D47" i="15"/>
  <c r="G47" i="15" s="1"/>
  <c r="D40" i="15"/>
  <c r="G40" i="15" s="1"/>
  <c r="D29" i="15"/>
  <c r="G29" i="15" s="1"/>
  <c r="D13" i="15"/>
  <c r="G13" i="15" s="1"/>
  <c r="I166" i="12"/>
  <c r="I164" i="12"/>
  <c r="J164" i="12" s="1"/>
  <c r="I163" i="12"/>
  <c r="J163" i="12" s="1"/>
  <c r="I162" i="12"/>
  <c r="I161" i="12"/>
  <c r="I159" i="12"/>
  <c r="I158" i="12"/>
  <c r="I156" i="12"/>
  <c r="I168" i="12"/>
  <c r="J168" i="12" s="1"/>
  <c r="I167" i="12"/>
  <c r="J167" i="12" s="1"/>
  <c r="J166" i="12"/>
  <c r="I165" i="12"/>
  <c r="J165" i="12" s="1"/>
  <c r="J162" i="12"/>
  <c r="J161" i="12"/>
  <c r="J159" i="12"/>
  <c r="J158" i="12"/>
  <c r="J156" i="12"/>
  <c r="I155" i="12"/>
  <c r="J155" i="12" s="1"/>
  <c r="I154" i="12"/>
  <c r="I151" i="12"/>
  <c r="J160" i="12"/>
  <c r="J157" i="12"/>
  <c r="J154" i="12"/>
  <c r="J153" i="12"/>
  <c r="J151" i="12"/>
  <c r="J152" i="12"/>
  <c r="I157" i="12"/>
  <c r="I153" i="12"/>
  <c r="I160" i="12"/>
  <c r="H169" i="12"/>
  <c r="I152" i="12"/>
  <c r="G49" i="12"/>
  <c r="G169" i="12"/>
  <c r="G171" i="12" s="1"/>
  <c r="F145" i="12"/>
  <c r="F138" i="12"/>
  <c r="F123" i="12"/>
  <c r="F97" i="12"/>
  <c r="F84" i="12"/>
  <c r="F66" i="12"/>
  <c r="G168" i="12"/>
  <c r="G167" i="12"/>
  <c r="H167" i="12" s="1"/>
  <c r="G166" i="12"/>
  <c r="H166" i="12" s="1"/>
  <c r="G165" i="12"/>
  <c r="G164" i="12"/>
  <c r="H164" i="12" s="1"/>
  <c r="G163" i="12"/>
  <c r="M163" i="12" s="1"/>
  <c r="G162" i="12"/>
  <c r="M162" i="12" s="1"/>
  <c r="G160" i="12"/>
  <c r="H160" i="12" s="1"/>
  <c r="G159" i="12"/>
  <c r="G158" i="12"/>
  <c r="H158" i="12" s="1"/>
  <c r="G157" i="12"/>
  <c r="M157" i="12" s="1"/>
  <c r="G156" i="12"/>
  <c r="H155" i="12"/>
  <c r="H156" i="12"/>
  <c r="H157" i="12"/>
  <c r="H159" i="12"/>
  <c r="H161" i="12"/>
  <c r="H163" i="12"/>
  <c r="H165" i="12"/>
  <c r="H168" i="12"/>
  <c r="G155" i="12"/>
  <c r="G154" i="12"/>
  <c r="M154" i="12" s="1"/>
  <c r="G153" i="12"/>
  <c r="M153" i="12" s="1"/>
  <c r="M156" i="12"/>
  <c r="G152" i="12"/>
  <c r="H152" i="12" s="1"/>
  <c r="G151" i="12"/>
  <c r="M151" i="12" s="1"/>
  <c r="E169" i="12"/>
  <c r="M164" i="12"/>
  <c r="M159" i="12"/>
  <c r="K150" i="12"/>
  <c r="N145" i="12"/>
  <c r="H145" i="12"/>
  <c r="G145" i="12"/>
  <c r="P145" i="12" s="1"/>
  <c r="R145" i="12" s="1"/>
  <c r="E145" i="12"/>
  <c r="M144" i="12"/>
  <c r="J144" i="12"/>
  <c r="M143" i="12"/>
  <c r="J143" i="12"/>
  <c r="M142" i="12"/>
  <c r="J142" i="12"/>
  <c r="K141" i="12"/>
  <c r="N138" i="12"/>
  <c r="H138" i="12"/>
  <c r="G138" i="12"/>
  <c r="P138" i="12" s="1"/>
  <c r="R138" i="12" s="1"/>
  <c r="E138" i="12"/>
  <c r="M137" i="12"/>
  <c r="J137" i="12"/>
  <c r="M136" i="12"/>
  <c r="J136" i="12"/>
  <c r="M135" i="12"/>
  <c r="J135" i="12"/>
  <c r="M134" i="12"/>
  <c r="J134" i="12"/>
  <c r="M133" i="12"/>
  <c r="J133" i="12"/>
  <c r="M132" i="12"/>
  <c r="J132" i="12"/>
  <c r="M131" i="12"/>
  <c r="J131" i="12"/>
  <c r="M130" i="12"/>
  <c r="J130" i="12"/>
  <c r="M129" i="12"/>
  <c r="J129" i="12"/>
  <c r="M128" i="12"/>
  <c r="J128" i="12"/>
  <c r="M127" i="12"/>
  <c r="J127" i="12"/>
  <c r="K126" i="12"/>
  <c r="J117" i="12"/>
  <c r="J119" i="12"/>
  <c r="M119" i="12"/>
  <c r="N123" i="12"/>
  <c r="H123" i="12"/>
  <c r="G123" i="12"/>
  <c r="O123" i="12" s="1"/>
  <c r="E123" i="12"/>
  <c r="M122" i="12"/>
  <c r="J122" i="12"/>
  <c r="M121" i="12"/>
  <c r="J121" i="12"/>
  <c r="M120" i="12"/>
  <c r="J120" i="12"/>
  <c r="M118" i="12"/>
  <c r="J118" i="12"/>
  <c r="M116" i="12"/>
  <c r="J116" i="12"/>
  <c r="M115" i="12"/>
  <c r="J115" i="12"/>
  <c r="M114" i="12"/>
  <c r="J114" i="12"/>
  <c r="K113" i="12"/>
  <c r="J108" i="12"/>
  <c r="M108" i="12"/>
  <c r="H110" i="12"/>
  <c r="G110" i="12"/>
  <c r="I110" i="12" s="1"/>
  <c r="E110" i="12"/>
  <c r="M109" i="12"/>
  <c r="J109" i="12"/>
  <c r="M107" i="12"/>
  <c r="J107" i="12"/>
  <c r="M106" i="12"/>
  <c r="J106" i="12"/>
  <c r="M105" i="12"/>
  <c r="J105" i="12"/>
  <c r="M104" i="12"/>
  <c r="J104" i="12"/>
  <c r="M103" i="12"/>
  <c r="J103" i="12"/>
  <c r="M102" i="12"/>
  <c r="J102" i="12"/>
  <c r="M101" i="12"/>
  <c r="J101" i="12"/>
  <c r="K100" i="12"/>
  <c r="N97" i="12"/>
  <c r="H97" i="12"/>
  <c r="G97" i="12"/>
  <c r="P97" i="12" s="1"/>
  <c r="R97" i="12" s="1"/>
  <c r="E97" i="12"/>
  <c r="M96" i="12"/>
  <c r="J96" i="12"/>
  <c r="M95" i="12"/>
  <c r="J95" i="12"/>
  <c r="M94" i="12"/>
  <c r="J94" i="12"/>
  <c r="M93" i="12"/>
  <c r="J93" i="12"/>
  <c r="M92" i="12"/>
  <c r="J92" i="12"/>
  <c r="M91" i="12"/>
  <c r="J91" i="12"/>
  <c r="M90" i="12"/>
  <c r="J90" i="12"/>
  <c r="M89" i="12"/>
  <c r="J89" i="12"/>
  <c r="M88" i="12"/>
  <c r="J88" i="12"/>
  <c r="K87" i="12"/>
  <c r="J82" i="12"/>
  <c r="M82" i="12"/>
  <c r="J81" i="12"/>
  <c r="M81" i="12"/>
  <c r="J80" i="12"/>
  <c r="M80" i="12"/>
  <c r="J78" i="12"/>
  <c r="M78" i="12"/>
  <c r="N84" i="12"/>
  <c r="H84" i="12"/>
  <c r="G84" i="12"/>
  <c r="P84" i="12" s="1"/>
  <c r="R84" i="12" s="1"/>
  <c r="E84" i="12"/>
  <c r="M83" i="12"/>
  <c r="J83" i="12"/>
  <c r="M79" i="12"/>
  <c r="J79" i="12"/>
  <c r="M77" i="12"/>
  <c r="J77" i="12"/>
  <c r="M76" i="12"/>
  <c r="J76" i="12"/>
  <c r="M75" i="12"/>
  <c r="J75" i="12"/>
  <c r="M74" i="12"/>
  <c r="J74" i="12"/>
  <c r="M73" i="12"/>
  <c r="J73" i="12"/>
  <c r="M72" i="12"/>
  <c r="J72" i="12"/>
  <c r="M71" i="12"/>
  <c r="J71" i="12"/>
  <c r="K70" i="12"/>
  <c r="J57" i="12"/>
  <c r="J58" i="12"/>
  <c r="J59" i="12"/>
  <c r="J60" i="12"/>
  <c r="J61" i="12"/>
  <c r="J62" i="12"/>
  <c r="J63" i="12"/>
  <c r="J64" i="12"/>
  <c r="J65" i="12"/>
  <c r="J56" i="12"/>
  <c r="D72" i="15" l="1"/>
  <c r="D74" i="15" s="1"/>
  <c r="G68" i="15"/>
  <c r="G59" i="15"/>
  <c r="I169" i="12"/>
  <c r="J169" i="12"/>
  <c r="H162" i="12"/>
  <c r="M158" i="12"/>
  <c r="H154" i="12"/>
  <c r="H153" i="12"/>
  <c r="M160" i="12"/>
  <c r="M168" i="12"/>
  <c r="M152" i="12"/>
  <c r="H151" i="12"/>
  <c r="M145" i="12"/>
  <c r="I145" i="12"/>
  <c r="J145" i="12"/>
  <c r="O145" i="12"/>
  <c r="L145" i="12"/>
  <c r="M138" i="12"/>
  <c r="J138" i="12"/>
  <c r="O138" i="12"/>
  <c r="I138" i="12"/>
  <c r="L138" i="12"/>
  <c r="M123" i="12"/>
  <c r="J123" i="12"/>
  <c r="L123" i="12"/>
  <c r="P123" i="12"/>
  <c r="R123" i="12" s="1"/>
  <c r="I123" i="12"/>
  <c r="M110" i="12"/>
  <c r="J110" i="12"/>
  <c r="O110" i="12"/>
  <c r="L110" i="12"/>
  <c r="M97" i="12"/>
  <c r="J97" i="12"/>
  <c r="I97" i="12"/>
  <c r="O97" i="12"/>
  <c r="L97" i="12"/>
  <c r="J84" i="12"/>
  <c r="M84" i="12"/>
  <c r="I84" i="12"/>
  <c r="O84" i="12"/>
  <c r="L84" i="12"/>
  <c r="G72" i="15" l="1"/>
  <c r="D75" i="15"/>
  <c r="D76" i="15" s="1"/>
  <c r="G74" i="15"/>
  <c r="M169" i="12"/>
  <c r="L169" i="12"/>
  <c r="O169" i="12"/>
  <c r="G75" i="15" l="1"/>
  <c r="G76" i="15" s="1"/>
  <c r="I36" i="12"/>
  <c r="J36" i="12" s="1"/>
  <c r="I35" i="12"/>
  <c r="J35" i="12" s="1"/>
  <c r="I27" i="12"/>
  <c r="J27" i="12" s="1"/>
  <c r="I28" i="12"/>
  <c r="J28" i="12" s="1"/>
  <c r="I29" i="12"/>
  <c r="J29" i="12" s="1"/>
  <c r="I26" i="12"/>
  <c r="J26" i="12" s="1"/>
  <c r="J12" i="12"/>
  <c r="J13" i="12"/>
  <c r="J14" i="12"/>
  <c r="J15" i="12"/>
  <c r="J16" i="12"/>
  <c r="J17" i="12"/>
  <c r="J22" i="12" s="1"/>
  <c r="J18" i="12"/>
  <c r="J19" i="12"/>
  <c r="J20" i="12"/>
  <c r="J11" i="12"/>
  <c r="J66" i="12"/>
  <c r="J48" i="12"/>
  <c r="J47" i="12"/>
  <c r="J46" i="12"/>
  <c r="J45" i="12"/>
  <c r="J44" i="12"/>
  <c r="J43" i="12"/>
  <c r="J42" i="12"/>
  <c r="I6" i="12"/>
  <c r="J6" i="12" s="1"/>
  <c r="I7" i="12"/>
  <c r="J7" i="12" s="1"/>
  <c r="I8" i="12"/>
  <c r="J8" i="12" s="1"/>
  <c r="I5" i="12"/>
  <c r="J5" i="12" s="1"/>
  <c r="I22" i="12"/>
  <c r="H6" i="12"/>
  <c r="J37" i="12" l="1"/>
  <c r="J49" i="12"/>
  <c r="J50" i="12" s="1"/>
  <c r="J9" i="12"/>
  <c r="J30" i="12"/>
  <c r="J21" i="12"/>
  <c r="I9" i="12"/>
  <c r="H66" i="12"/>
  <c r="H48" i="12"/>
  <c r="H47" i="12"/>
  <c r="H46" i="12"/>
  <c r="H45" i="12"/>
  <c r="H44" i="12"/>
  <c r="H43" i="12"/>
  <c r="H42" i="12"/>
  <c r="H37" i="12"/>
  <c r="H30" i="12"/>
  <c r="H22" i="12"/>
  <c r="H21" i="12"/>
  <c r="H9" i="12"/>
  <c r="J38" i="12" l="1"/>
  <c r="H49" i="12"/>
  <c r="H50" i="12" s="1"/>
  <c r="H38" i="12"/>
  <c r="N66" i="12" l="1"/>
  <c r="G66" i="12"/>
  <c r="E66" i="12"/>
  <c r="M65" i="12"/>
  <c r="M64" i="12"/>
  <c r="M63" i="12"/>
  <c r="M62" i="12"/>
  <c r="M61" i="12"/>
  <c r="M60" i="12"/>
  <c r="M59" i="12"/>
  <c r="M58" i="12"/>
  <c r="M57" i="12"/>
  <c r="M56" i="12"/>
  <c r="M36" i="12"/>
  <c r="M35" i="12"/>
  <c r="M27" i="12"/>
  <c r="M28" i="12"/>
  <c r="M29" i="12"/>
  <c r="M26" i="12"/>
  <c r="M12" i="12"/>
  <c r="M13" i="12"/>
  <c r="M14" i="12"/>
  <c r="M15" i="12"/>
  <c r="M16" i="12"/>
  <c r="M17" i="12"/>
  <c r="M18" i="12"/>
  <c r="M19" i="12"/>
  <c r="M20" i="12"/>
  <c r="M11" i="12"/>
  <c r="L5" i="12"/>
  <c r="M5" i="12" s="1"/>
  <c r="L6" i="12"/>
  <c r="M6" i="12" s="1"/>
  <c r="L7" i="12"/>
  <c r="M7" i="12" s="1"/>
  <c r="L8" i="12"/>
  <c r="M8" i="12" s="1"/>
  <c r="F49" i="12"/>
  <c r="E49" i="12"/>
  <c r="E50" i="12" s="1"/>
  <c r="N48" i="12"/>
  <c r="G48" i="12"/>
  <c r="N47" i="12"/>
  <c r="G47" i="12"/>
  <c r="N46" i="12"/>
  <c r="G46" i="12"/>
  <c r="N45" i="12"/>
  <c r="G45" i="12"/>
  <c r="F110" i="12" s="1"/>
  <c r="N44" i="12"/>
  <c r="G44" i="12"/>
  <c r="N43" i="12"/>
  <c r="G43" i="12"/>
  <c r="N42" i="12"/>
  <c r="G42" i="12"/>
  <c r="N37" i="12"/>
  <c r="G37" i="12"/>
  <c r="N30" i="12"/>
  <c r="G30" i="12"/>
  <c r="I30" i="12" s="1"/>
  <c r="E30" i="12"/>
  <c r="O29" i="12"/>
  <c r="O28" i="12"/>
  <c r="O27" i="12"/>
  <c r="O26" i="12"/>
  <c r="G22" i="12"/>
  <c r="N21" i="12"/>
  <c r="G21" i="12"/>
  <c r="E21" i="12"/>
  <c r="O9" i="12"/>
  <c r="N9" i="12"/>
  <c r="G9" i="12"/>
  <c r="E9" i="12"/>
  <c r="K46" i="10"/>
  <c r="K50" i="10" s="1"/>
  <c r="K55" i="10" s="1"/>
  <c r="J22" i="10"/>
  <c r="I38" i="10"/>
  <c r="I31" i="10"/>
  <c r="K47" i="10"/>
  <c r="K45" i="10"/>
  <c r="K44" i="10"/>
  <c r="K42" i="10"/>
  <c r="J44" i="10"/>
  <c r="J45" i="10"/>
  <c r="J46" i="10"/>
  <c r="J47" i="10"/>
  <c r="J48" i="10"/>
  <c r="J42" i="10"/>
  <c r="J43" i="10"/>
  <c r="N48" i="10"/>
  <c r="N43" i="10"/>
  <c r="N44" i="10"/>
  <c r="N45" i="10"/>
  <c r="N46" i="10"/>
  <c r="N47" i="10"/>
  <c r="N42" i="10"/>
  <c r="O27" i="10"/>
  <c r="O28" i="10"/>
  <c r="O29" i="10"/>
  <c r="O26" i="10"/>
  <c r="L37" i="10"/>
  <c r="N30" i="10"/>
  <c r="N21" i="10"/>
  <c r="O9" i="10"/>
  <c r="N9" i="10"/>
  <c r="N37" i="10"/>
  <c r="E9" i="10"/>
  <c r="L9" i="10" s="1"/>
  <c r="J9" i="10"/>
  <c r="P9" i="10" s="1"/>
  <c r="N110" i="12" l="1"/>
  <c r="P110" i="12"/>
  <c r="R110" i="12" s="1"/>
  <c r="O37" i="12"/>
  <c r="I37" i="12"/>
  <c r="I38" i="12" s="1"/>
  <c r="L43" i="12"/>
  <c r="I43" i="12"/>
  <c r="K45" i="12"/>
  <c r="I45" i="12"/>
  <c r="K47" i="12"/>
  <c r="I47" i="12"/>
  <c r="P66" i="12"/>
  <c r="R66" i="12" s="1"/>
  <c r="I66" i="12"/>
  <c r="O21" i="12"/>
  <c r="I21" i="12"/>
  <c r="K42" i="12"/>
  <c r="I42" i="12"/>
  <c r="K44" i="12"/>
  <c r="I44" i="12"/>
  <c r="K46" i="12"/>
  <c r="I46" i="12"/>
  <c r="L48" i="12"/>
  <c r="I48" i="12"/>
  <c r="M37" i="12"/>
  <c r="M21" i="12"/>
  <c r="M30" i="12"/>
  <c r="P9" i="12"/>
  <c r="G2" i="12"/>
  <c r="P30" i="12"/>
  <c r="G31" i="12"/>
  <c r="O31" i="12" s="1"/>
  <c r="L42" i="12"/>
  <c r="L47" i="12"/>
  <c r="M9" i="12"/>
  <c r="L21" i="12"/>
  <c r="L44" i="12"/>
  <c r="N49" i="12"/>
  <c r="F50" i="12"/>
  <c r="N50" i="12" s="1"/>
  <c r="L9" i="12"/>
  <c r="L30" i="12"/>
  <c r="L37" i="12"/>
  <c r="L46" i="12"/>
  <c r="L45" i="12"/>
  <c r="M66" i="12"/>
  <c r="O66" i="12"/>
  <c r="L66" i="12"/>
  <c r="F169" i="12"/>
  <c r="M49" i="12"/>
  <c r="P21" i="12"/>
  <c r="P37" i="12"/>
  <c r="O30" i="12"/>
  <c r="J49" i="10"/>
  <c r="O49" i="10"/>
  <c r="H49" i="10"/>
  <c r="J21" i="10"/>
  <c r="N169" i="12" l="1"/>
  <c r="P169" i="12"/>
  <c r="R169" i="12" s="1"/>
  <c r="K50" i="12"/>
  <c r="K55" i="12" s="1"/>
  <c r="I49" i="12"/>
  <c r="I50" i="12" s="1"/>
  <c r="L49" i="12"/>
  <c r="G50" i="12"/>
  <c r="G51" i="12"/>
  <c r="R21" i="12"/>
  <c r="F51" i="12"/>
  <c r="O49" i="12"/>
  <c r="N49" i="10"/>
  <c r="H51" i="10"/>
  <c r="O21" i="10"/>
  <c r="P21" i="10"/>
  <c r="R21" i="10" s="1"/>
  <c r="G43" i="10"/>
  <c r="G48" i="10" l="1"/>
  <c r="G49" i="10" s="1"/>
  <c r="E49" i="10"/>
  <c r="L49" i="10" l="1"/>
  <c r="M49" i="10"/>
  <c r="G29" i="10"/>
  <c r="G28" i="10"/>
  <c r="G27" i="10"/>
  <c r="G26" i="10"/>
  <c r="J30" i="10"/>
  <c r="O30" i="10" l="1"/>
  <c r="P30" i="10"/>
  <c r="G30" i="10"/>
  <c r="M30" i="10" s="1"/>
  <c r="G36" i="10"/>
  <c r="G35" i="10"/>
  <c r="J37" i="10"/>
  <c r="P37" i="10" s="1"/>
  <c r="E30" i="10"/>
  <c r="L30" i="10" s="1"/>
  <c r="G16" i="10"/>
  <c r="G20" i="10"/>
  <c r="G19" i="10"/>
  <c r="G18" i="10"/>
  <c r="G17" i="10"/>
  <c r="G15" i="10"/>
  <c r="G14" i="10"/>
  <c r="G13" i="10"/>
  <c r="G12" i="10"/>
  <c r="G6" i="10"/>
  <c r="G5" i="10"/>
  <c r="G7" i="10" l="1"/>
  <c r="G9" i="10" s="1"/>
  <c r="M9" i="10" s="1"/>
  <c r="G8" i="10"/>
  <c r="G11" i="10"/>
  <c r="G21" i="10" s="1"/>
  <c r="M21" i="10" s="1"/>
  <c r="O37" i="10"/>
  <c r="G37" i="10"/>
  <c r="M37" i="10" s="1"/>
  <c r="E21" i="10" l="1"/>
  <c r="L21" i="10" s="1"/>
</calcChain>
</file>

<file path=xl/sharedStrings.xml><?xml version="1.0" encoding="utf-8"?>
<sst xmlns="http://schemas.openxmlformats.org/spreadsheetml/2006/main" count="548" uniqueCount="170">
  <si>
    <t>Čermná</t>
  </si>
  <si>
    <t>Dolní Branná</t>
  </si>
  <si>
    <t>Dolní Dvůr</t>
  </si>
  <si>
    <t>Dolní Olešnice</t>
  </si>
  <si>
    <t>Horní Kalná</t>
  </si>
  <si>
    <t>Horní Olešnice</t>
  </si>
  <si>
    <t>Chotěvice</t>
  </si>
  <si>
    <t>Nemojov</t>
  </si>
  <si>
    <t>Počet obyvatel k 1.1.2018</t>
  </si>
  <si>
    <t>Poř.č.</t>
  </si>
  <si>
    <t>Název dokumentu</t>
  </si>
  <si>
    <t>SOHL</t>
  </si>
  <si>
    <t>STRATEGICKÉ DOKUMENTY</t>
  </si>
  <si>
    <t>Koncepce systému třídění a sběru odpadů</t>
  </si>
  <si>
    <t>Koncepce rozvoje cyklodopravy</t>
  </si>
  <si>
    <t>Strategie rozvoje obce Horní Olešnice</t>
  </si>
  <si>
    <t>Strategie rozvoje obce Dolní Olešnice</t>
  </si>
  <si>
    <t>Strategie rozvoje obce Horní Kalná</t>
  </si>
  <si>
    <t>Strategie rozvoje obce Čermná</t>
  </si>
  <si>
    <t>Strategie rozvoje obce Nemojov</t>
  </si>
  <si>
    <t>Strategie rozvoje obce Dolní Branná</t>
  </si>
  <si>
    <t>Strategie rozvoje obce Chotěvice</t>
  </si>
  <si>
    <t>Koncepce řešení čištění odpadních vod</t>
  </si>
  <si>
    <t>Strategie rozvoje a profesionalizace veřejné zprávy SOHL</t>
  </si>
  <si>
    <t>Strategie rozvoje obce Dolní Kalná - aktualizace</t>
  </si>
  <si>
    <t>Dolní Kalná - aktualizace</t>
  </si>
  <si>
    <t>Strategie rozvoje města Hostinné - aktualizace</t>
  </si>
  <si>
    <t>Strategie rozvoje obce Kunčice nad Labem - aktualizace</t>
  </si>
  <si>
    <t>celkem za strategie SOHL vč. koncepcí</t>
  </si>
  <si>
    <t>Hostinné - aktualizace</t>
  </si>
  <si>
    <t>Kunčice n.L. - aktualizace</t>
  </si>
  <si>
    <t>celkem za strategie obcí</t>
  </si>
  <si>
    <t>Počet došlých CN</t>
  </si>
  <si>
    <t>Poznámka</t>
  </si>
  <si>
    <t>Klášterská Lhota</t>
  </si>
  <si>
    <t>Studie proveditelnosti výstavby chodníků v obci Klášterská Lhota</t>
  </si>
  <si>
    <t>Kunčice nad Labem</t>
  </si>
  <si>
    <r>
      <rPr>
        <b/>
        <sz val="15"/>
        <color rgb="FF0070C0"/>
        <rFont val="Calibri"/>
        <family val="2"/>
        <scheme val="minor"/>
      </rPr>
      <t>STUDIE PROVEDITELNOSTI</t>
    </r>
  </si>
  <si>
    <t>Studie proveditelnosti relaxačního parku v centru obce</t>
  </si>
  <si>
    <t>Studie proveditelnosti dešťové nebo jednotné kanalizace v obci Kunčice nad Labem</t>
  </si>
  <si>
    <t>Studie proveditelnosti vybudování náhrad. zdroje pitné vody v obci Chotěvice</t>
  </si>
  <si>
    <r>
      <rPr>
        <b/>
        <sz val="15"/>
        <color rgb="FF0070C0"/>
        <rFont val="Calibri"/>
        <family val="2"/>
        <charset val="238"/>
        <scheme val="minor"/>
      </rPr>
      <t>GENERELY ZELENĚ</t>
    </r>
  </si>
  <si>
    <t>Generel zeleně Dolní Branná</t>
  </si>
  <si>
    <t>Lánov</t>
  </si>
  <si>
    <t>celkem za studie proveditelnosti</t>
  </si>
  <si>
    <t>celkem za generely zeleně</t>
  </si>
  <si>
    <t>Generel zeleně Lánov (nové - cena odhadnuta při Změně č.1)</t>
  </si>
  <si>
    <t>Finanční bilance</t>
  </si>
  <si>
    <t>Budov</t>
  </si>
  <si>
    <t>Dopravního značení</t>
  </si>
  <si>
    <t>Mobiliáře</t>
  </si>
  <si>
    <t>Zeleně</t>
  </si>
  <si>
    <t>PASPORTY</t>
  </si>
  <si>
    <t>Veřejného osvětlení</t>
  </si>
  <si>
    <t>Vodovodů a kanalizace</t>
  </si>
  <si>
    <t>Odpadů</t>
  </si>
  <si>
    <t xml:space="preserve">Název pasportu
</t>
  </si>
  <si>
    <t xml:space="preserve">Název dokumetu / obce
</t>
  </si>
  <si>
    <t>Počet účastníků VZ</t>
  </si>
  <si>
    <t>průměrná cena       z došlých CN (vč.DPH)</t>
  </si>
  <si>
    <t>vysoutěžená cena (včetně DPH)</t>
  </si>
  <si>
    <t>UPRAVENÁ rozpočtová cena (vč. DPH)</t>
  </si>
  <si>
    <t>Rozpočtová cena
(vč. DPH)</t>
  </si>
  <si>
    <t>UPRAVENÁ rozpočtová cena (bez DPH)</t>
  </si>
  <si>
    <t>Rozpočtová cena
(bez DPH)</t>
  </si>
  <si>
    <t xml:space="preserve">ZBÝVÁ </t>
  </si>
  <si>
    <t>průměrná cena z CN (bez DPH)</t>
  </si>
  <si>
    <t>Finanční bilance (vč.DPH)</t>
  </si>
  <si>
    <t>vysoutěžená cena (bez DPH)</t>
  </si>
  <si>
    <t>část VZ č.2  (GaREP, spol. s r.o.)</t>
  </si>
  <si>
    <t>část VZ č.1                                (M.C.Triton spol. s r.o.)</t>
  </si>
  <si>
    <t>zbýva celkem</t>
  </si>
  <si>
    <r>
      <rPr>
        <b/>
        <sz val="10"/>
        <color rgb="FFFF0000"/>
        <rFont val="Arial"/>
        <family val="2"/>
        <charset val="238"/>
      </rPr>
      <t>žádost o změnu</t>
    </r>
    <r>
      <rPr>
        <b/>
        <sz val="10"/>
        <rFont val="Arial"/>
        <family val="2"/>
        <charset val="238"/>
      </rPr>
      <t xml:space="preserve"> - UPRAVENÁ rozpočtová cena (vč. DPH)</t>
    </r>
  </si>
  <si>
    <t>celkem za pasporty</t>
  </si>
  <si>
    <t>část VZ č.5  (City Traffic, s.r.o.)</t>
  </si>
  <si>
    <t>část VZ č.4  (VRV a.s.)</t>
  </si>
  <si>
    <t>část VZ č.3  (ARCH consulting s.r.o.)</t>
  </si>
  <si>
    <t>průměrná cena              z CN (bez DPH)</t>
  </si>
  <si>
    <t>SOD s firmou Vodohodpodářský rozvoj a výstavba (VRV) a.s. podepána 4.2.2021</t>
  </si>
  <si>
    <t>SOD s firmou TILMUN podepána 30.12.2020</t>
  </si>
  <si>
    <t>SOD s firmou DIK Janák, s.r.o. podepána 4.3.2021</t>
  </si>
  <si>
    <t>smlouvy byly podepsány</t>
  </si>
  <si>
    <t>část č.4 - Envipartner s.r.o.</t>
  </si>
  <si>
    <t>část č.1 - Envipartner s.r.o.</t>
  </si>
  <si>
    <t>část č.2 - Envipartner s.r.o.</t>
  </si>
  <si>
    <t>část č.3 - Envipartner s.r.o.</t>
  </si>
  <si>
    <t>část č.5 - Envipartner s.r.o.</t>
  </si>
  <si>
    <t>část č.6 - Envipartner s.r.o.</t>
  </si>
  <si>
    <t>část č.7 - Safe Trees s.r.o.</t>
  </si>
  <si>
    <r>
      <t xml:space="preserve">rozdíl </t>
    </r>
    <r>
      <rPr>
        <sz val="9"/>
        <color theme="1"/>
        <rFont val="Calibri"/>
        <family val="2"/>
        <charset val="238"/>
        <scheme val="minor"/>
      </rPr>
      <t>(rozpočet - vysoutěžená cena)</t>
    </r>
  </si>
  <si>
    <t>BUDEME VRACET !!!!</t>
  </si>
  <si>
    <t>Dolní Lánov????</t>
  </si>
  <si>
    <r>
      <t xml:space="preserve">STRATEGICKÉ DOKUMENTY </t>
    </r>
    <r>
      <rPr>
        <b/>
        <sz val="15"/>
        <color rgb="FFFF0000"/>
        <rFont val="Calibri"/>
        <family val="2"/>
        <charset val="238"/>
        <scheme val="minor"/>
      </rPr>
      <t>- aktualizace 10_2021</t>
    </r>
  </si>
  <si>
    <t>spoluúčast obce celkem</t>
  </si>
  <si>
    <t>Spoluúčast obce jednotlivě</t>
  </si>
  <si>
    <t>PASPORT VEŘEJNÉHO OSVĚTLENÍ</t>
  </si>
  <si>
    <t>Dolní Kalná</t>
  </si>
  <si>
    <t>Prosečné</t>
  </si>
  <si>
    <t>Dolní Lánov</t>
  </si>
  <si>
    <t>UHRAZENO K 19.11.2021</t>
  </si>
  <si>
    <t>spoluúčast obcí</t>
  </si>
  <si>
    <t xml:space="preserve">spoluúčast </t>
  </si>
  <si>
    <t>PASPORT BUDOV</t>
  </si>
  <si>
    <t>Hostinné</t>
  </si>
  <si>
    <t>Rudník</t>
  </si>
  <si>
    <t>PASPORT DOPRAVNÍHO ZNAČENÍ</t>
  </si>
  <si>
    <t>PASPORT MOBILIÁŘE</t>
  </si>
  <si>
    <t>PASPORT VaK</t>
  </si>
  <si>
    <t>jen vodovod</t>
  </si>
  <si>
    <t>Strážné</t>
  </si>
  <si>
    <t>PASPORT ODPADOVÉHO HOSPODÁŘSTVÍ</t>
  </si>
  <si>
    <t>PASPORT ZELENĚ</t>
  </si>
  <si>
    <t>Vrchlabí</t>
  </si>
  <si>
    <t>SPOLUÚČAST OBCÍ - OBCE CELKEM</t>
  </si>
  <si>
    <t>Pasporty celkem</t>
  </si>
  <si>
    <t>Passporty spoluúčast</t>
  </si>
  <si>
    <t>další dok. Spol.</t>
  </si>
  <si>
    <t xml:space="preserve">spol. celkem </t>
  </si>
  <si>
    <t>spoluúčast z Rozhodnutí</t>
  </si>
  <si>
    <t xml:space="preserve">Zpracovatel </t>
  </si>
  <si>
    <t>VRV a.s.</t>
  </si>
  <si>
    <t>GaREP, spol. s r.o.</t>
  </si>
  <si>
    <t>ARCH consulting s.r.o.</t>
  </si>
  <si>
    <t>City Traffic, s.r.o.</t>
  </si>
  <si>
    <t>M.C.Triton spol. s r.o.</t>
  </si>
  <si>
    <t>Černý Důl</t>
  </si>
  <si>
    <t>Strategie rozvoje městyse Černý Důl</t>
  </si>
  <si>
    <t>Strategie rozvoje obce Doln Lánov</t>
  </si>
  <si>
    <t>Envipartner s.r.o.</t>
  </si>
  <si>
    <t>Safe Trees s.r.o.</t>
  </si>
  <si>
    <t>Čermná, Dolní Branná, Dolní Dvůr, Dolní Lánov, Dolní Olešnice, Horní Kalná, Horní Olešnice, Chotěvice, Prosečné</t>
  </si>
  <si>
    <t>DIK Janák, s.r.o.</t>
  </si>
  <si>
    <t>TILMUN Lánov</t>
  </si>
  <si>
    <t>Vodohodpodářský rozvoj a výstavba (VRV) a.s.</t>
  </si>
  <si>
    <t>Zahradně – architektonické řešení zeleně v intravilánu obce Dolní Lánov</t>
  </si>
  <si>
    <t>Studie dopravní obslužnosti průmyslové zóny Dlouhá Louka Hostinné</t>
  </si>
  <si>
    <t>Ing. Ivan Šír, projektování dopravních staveb a.s.</t>
  </si>
  <si>
    <t>Hostinné, Nemojov, Vrchlabí</t>
  </si>
  <si>
    <t>Čermná, Dolní Branná, Dolní Dvůr, Dolní Kalná, Dolní Olešnice, Horní Kalná, Horní Olešnice, Hostinné, Chotěvice, Kunčicen nad Labem, Lánov, Nemojov, Prosečné</t>
  </si>
  <si>
    <t>Čermná, Dolní Branná, Dolní Olešnice, Horní Kalná, Horní Olešnice, Hostinné, Kunčice nad Labem, Lánov, Rudník</t>
  </si>
  <si>
    <t>Čermná, Dolní Branná, Dolní Dvůr, Dolní Olešnice, Horní Olešnice, Kunčice nad Labem, Lánov, Nemojov, Rudník</t>
  </si>
  <si>
    <t>Čermná, Dolní Branná, Dolní Olešnice, Horní Kalná, Horní Olešnice, Chotěvice, Kunčice nad Labem, Prosečné, Srážné</t>
  </si>
  <si>
    <t>Čermná, Dolní Branná, Dolní Dvůr, Dolní Olešnice, Horní Kalná, Horní Olešnice, Hostinné, Chotěvice, Kunčice nad Labem, Lánov, Nemojov</t>
  </si>
  <si>
    <t>VZDĚLÁVÁNÍ</t>
  </si>
  <si>
    <t>„Strategické řízení na obci (30.3.2021)“ a „Projektové řízení (31.3.2021)</t>
  </si>
  <si>
    <t>Ing. Marek Pavlík, Ph.D.</t>
  </si>
  <si>
    <t>Doudenní</t>
  </si>
  <si>
    <t>celkem za semináře</t>
  </si>
  <si>
    <t>seminář</t>
  </si>
  <si>
    <t>webinář</t>
  </si>
  <si>
    <t>Ing. Věra Havlová</t>
  </si>
  <si>
    <t>workshop</t>
  </si>
  <si>
    <t>spoluúčast obcí celkem</t>
  </si>
  <si>
    <t>Finanční řízení a hospodaření v praxi samospráv ve dnech 14 a 21. 10. 2021 v Hostinném</t>
  </si>
  <si>
    <t xml:space="preserve"> „Odpovědné zadávání veřejných zakázek“ dne 21.6.2021 a 29.6.2021 v Hostinném</t>
  </si>
  <si>
    <t>Ing. Luděk Tesař (City Finance)</t>
  </si>
  <si>
    <t>JUDr. Jan Horník, Ph.D.</t>
  </si>
  <si>
    <t>Zákon o obcích – oblast přenesené a samostatné působnosti 4. a 5.11.2021 v Rychnově nda Kněžnou</t>
  </si>
  <si>
    <t>CELKEM ZA PROJEKT</t>
  </si>
  <si>
    <t>CELKOVÉ PŘÍMÉ NÁKLADY PROJEKTU</t>
  </si>
  <si>
    <t>celkem osobní náklady</t>
  </si>
  <si>
    <t>celkové nepřímé (paušální) náklady 15%</t>
  </si>
  <si>
    <t>celkem dokumenty + vzdělávání</t>
  </si>
  <si>
    <t>SOHL - Přemýšlíme strategicky</t>
  </si>
  <si>
    <r>
      <t xml:space="preserve">cena </t>
    </r>
    <r>
      <rPr>
        <b/>
        <sz val="9"/>
        <rFont val="Arial"/>
        <family val="2"/>
        <charset val="238"/>
      </rPr>
      <t>(včetně DPH)</t>
    </r>
  </si>
  <si>
    <t>Název dokumetu / obce</t>
  </si>
  <si>
    <t>Název pasportu</t>
  </si>
  <si>
    <t>Check Terra s.r.o.</t>
  </si>
  <si>
    <t>Svazek obcí Horní Labe (SOHL)</t>
  </si>
  <si>
    <t>Projekt "SOHL - Přemýšlíme strategicky"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</si>
</sst>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_-* #,##0\ [$Kč-405]_-;\-* #,##0\ [$Kč-405]_-;_-* &quot;-&quot;??\ [$Kč-405]_-;_-@_-"/>
    <numFmt numFmtId="166" formatCode="#,##0\ &quot;Kč&quot;"/>
    <numFmt numFmtId="167" formatCode="#,##0.00\ &quot;Kč&quot;"/>
    <numFmt numFmtId="168" formatCode="#,##0_ ;\-#,##0\ "/>
  </numFmts>
  <fonts count="59" x14ac:knownFonts="1"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b/>
      <i/>
      <sz val="13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color rgb="FF0070C0"/>
      <name val="Calibri"/>
      <family val="2"/>
      <scheme val="minor"/>
    </font>
    <font>
      <sz val="15"/>
      <color theme="1"/>
      <name val="Calibri"/>
      <family val="2"/>
      <scheme val="minor"/>
    </font>
    <font>
      <b/>
      <i/>
      <sz val="12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3"/>
      <color rgb="FFFF0000"/>
      <name val="Calibri"/>
      <family val="2"/>
      <charset val="238"/>
      <scheme val="minor"/>
    </font>
    <font>
      <b/>
      <i/>
      <sz val="12"/>
      <color theme="0" tint="-0.499984740745262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4"/>
      <color rgb="FF00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rgb="FF000000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55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5" fillId="0" borderId="0" xfId="0" applyFont="1"/>
    <xf numFmtId="0" fontId="10" fillId="0" borderId="14" xfId="0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3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8" fillId="5" borderId="10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12" fillId="5" borderId="4" xfId="0" applyNumberFormat="1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center" vertical="center"/>
    </xf>
    <xf numFmtId="3" fontId="14" fillId="7" borderId="0" xfId="0" applyNumberFormat="1" applyFont="1" applyFill="1" applyAlignment="1">
      <alignment horizontal="center" vertical="center"/>
    </xf>
    <xf numFmtId="3" fontId="10" fillId="0" borderId="29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3" fontId="10" fillId="0" borderId="28" xfId="0" applyNumberFormat="1" applyFont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3" fontId="18" fillId="0" borderId="0" xfId="0" applyNumberFormat="1" applyFont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/>
    </xf>
    <xf numFmtId="3" fontId="18" fillId="0" borderId="39" xfId="0" applyNumberFormat="1" applyFont="1" applyBorder="1" applyAlignment="1">
      <alignment horizontal="center" vertical="center"/>
    </xf>
    <xf numFmtId="3" fontId="10" fillId="0" borderId="40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7" xfId="0" applyBorder="1"/>
    <xf numFmtId="3" fontId="12" fillId="0" borderId="15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3" fontId="15" fillId="3" borderId="30" xfId="0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3" fontId="10" fillId="0" borderId="39" xfId="0" applyNumberFormat="1" applyFont="1" applyBorder="1" applyAlignment="1">
      <alignment horizontal="center" vertical="center"/>
    </xf>
    <xf numFmtId="3" fontId="12" fillId="0" borderId="2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6" fontId="18" fillId="3" borderId="30" xfId="0" applyNumberFormat="1" applyFont="1" applyFill="1" applyBorder="1" applyAlignment="1">
      <alignment horizontal="center" vertical="center"/>
    </xf>
    <xf numFmtId="166" fontId="19" fillId="5" borderId="4" xfId="0" applyNumberFormat="1" applyFont="1" applyFill="1" applyBorder="1" applyAlignment="1">
      <alignment horizontal="center" vertical="center"/>
    </xf>
    <xf numFmtId="166" fontId="19" fillId="2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13" fillId="0" borderId="53" xfId="0" applyFont="1" applyBorder="1" applyAlignment="1">
      <alignment horizontal="left" vertical="center" wrapText="1"/>
    </xf>
    <xf numFmtId="0" fontId="13" fillId="0" borderId="56" xfId="0" applyFont="1" applyBorder="1" applyAlignment="1">
      <alignment horizontal="left" vertical="center" wrapText="1"/>
    </xf>
    <xf numFmtId="1" fontId="25" fillId="0" borderId="49" xfId="0" applyNumberFormat="1" applyFont="1" applyBorder="1" applyAlignment="1">
      <alignment horizontal="center" vertical="center" shrinkToFit="1"/>
    </xf>
    <xf numFmtId="0" fontId="24" fillId="0" borderId="50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left" vertical="center" wrapText="1"/>
    </xf>
    <xf numFmtId="1" fontId="25" fillId="0" borderId="52" xfId="0" applyNumberFormat="1" applyFont="1" applyBorder="1" applyAlignment="1">
      <alignment horizontal="center" vertical="center" shrinkToFit="1"/>
    </xf>
    <xf numFmtId="0" fontId="24" fillId="0" borderId="46" xfId="0" applyFont="1" applyBorder="1" applyAlignment="1">
      <alignment horizontal="left" vertical="center" wrapText="1"/>
    </xf>
    <xf numFmtId="1" fontId="25" fillId="0" borderId="54" xfId="0" applyNumberFormat="1" applyFont="1" applyBorder="1" applyAlignment="1">
      <alignment horizontal="center" vertical="center" shrinkToFit="1"/>
    </xf>
    <xf numFmtId="0" fontId="24" fillId="0" borderId="55" xfId="0" applyFont="1" applyBorder="1" applyAlignment="1">
      <alignment horizontal="left" vertical="center" wrapText="1"/>
    </xf>
    <xf numFmtId="1" fontId="25" fillId="0" borderId="63" xfId="0" applyNumberFormat="1" applyFont="1" applyBorder="1" applyAlignment="1">
      <alignment horizontal="center" vertical="center" shrinkToFit="1"/>
    </xf>
    <xf numFmtId="1" fontId="25" fillId="0" borderId="47" xfId="0" applyNumberFormat="1" applyFont="1" applyBorder="1" applyAlignment="1">
      <alignment horizontal="center" vertical="center" shrinkToFit="1"/>
    </xf>
    <xf numFmtId="3" fontId="25" fillId="0" borderId="64" xfId="0" applyNumberFormat="1" applyFont="1" applyBorder="1" applyAlignment="1">
      <alignment horizontal="center" vertical="center" shrinkToFit="1"/>
    </xf>
    <xf numFmtId="0" fontId="25" fillId="0" borderId="61" xfId="0" applyFont="1" applyBorder="1" applyAlignment="1">
      <alignment horizontal="left" wrapText="1"/>
    </xf>
    <xf numFmtId="3" fontId="25" fillId="0" borderId="67" xfId="0" applyNumberFormat="1" applyFont="1" applyBorder="1" applyAlignment="1">
      <alignment horizontal="center" vertical="center" shrinkToFit="1"/>
    </xf>
    <xf numFmtId="3" fontId="25" fillId="0" borderId="68" xfId="0" applyNumberFormat="1" applyFont="1" applyBorder="1" applyAlignment="1">
      <alignment horizontal="center" vertical="center" shrinkToFit="1"/>
    </xf>
    <xf numFmtId="3" fontId="25" fillId="0" borderId="69" xfId="0" applyNumberFormat="1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0" fillId="0" borderId="65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166" fontId="31" fillId="0" borderId="4" xfId="0" applyNumberFormat="1" applyFont="1" applyBorder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3" fontId="32" fillId="0" borderId="42" xfId="0" applyNumberFormat="1" applyFont="1" applyBorder="1" applyAlignment="1">
      <alignment horizontal="center" vertical="center"/>
    </xf>
    <xf numFmtId="3" fontId="32" fillId="0" borderId="43" xfId="0" applyNumberFormat="1" applyFont="1" applyBorder="1" applyAlignment="1">
      <alignment horizontal="center" vertical="center"/>
    </xf>
    <xf numFmtId="3" fontId="32" fillId="0" borderId="44" xfId="0" applyNumberFormat="1" applyFont="1" applyBorder="1" applyAlignment="1">
      <alignment horizontal="center" vertical="center"/>
    </xf>
    <xf numFmtId="0" fontId="22" fillId="0" borderId="70" xfId="0" applyFont="1" applyBorder="1" applyAlignment="1">
      <alignment horizontal="left" vertical="center" wrapText="1"/>
    </xf>
    <xf numFmtId="0" fontId="22" fillId="0" borderId="71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top"/>
    </xf>
    <xf numFmtId="0" fontId="5" fillId="3" borderId="10" xfId="0" applyFont="1" applyFill="1" applyBorder="1" applyAlignment="1">
      <alignment vertical="center"/>
    </xf>
    <xf numFmtId="0" fontId="34" fillId="3" borderId="10" xfId="0" applyFont="1" applyFill="1" applyBorder="1" applyAlignment="1">
      <alignment horizontal="left"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26" xfId="0" applyNumberFormat="1" applyFont="1" applyBorder="1" applyAlignment="1">
      <alignment horizontal="center" vertical="center"/>
    </xf>
    <xf numFmtId="3" fontId="17" fillId="0" borderId="40" xfId="0" applyNumberFormat="1" applyFont="1" applyBorder="1" applyAlignment="1">
      <alignment horizontal="center" vertical="center"/>
    </xf>
    <xf numFmtId="3" fontId="17" fillId="0" borderId="39" xfId="0" applyNumberFormat="1" applyFont="1" applyBorder="1" applyAlignment="1">
      <alignment horizontal="center" vertical="center"/>
    </xf>
    <xf numFmtId="166" fontId="18" fillId="2" borderId="24" xfId="1" applyNumberFormat="1" applyFont="1" applyFill="1" applyBorder="1" applyAlignment="1">
      <alignment vertical="center"/>
    </xf>
    <xf numFmtId="0" fontId="17" fillId="0" borderId="13" xfId="0" applyFont="1" applyBorder="1" applyAlignment="1">
      <alignment horizontal="left" vertical="center" indent="1"/>
    </xf>
    <xf numFmtId="0" fontId="17" fillId="0" borderId="22" xfId="0" applyFont="1" applyBorder="1" applyAlignment="1">
      <alignment horizontal="left" vertical="center" indent="1"/>
    </xf>
    <xf numFmtId="0" fontId="13" fillId="0" borderId="36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166" fontId="18" fillId="5" borderId="10" xfId="0" applyNumberFormat="1" applyFont="1" applyFill="1" applyBorder="1" applyAlignment="1">
      <alignment horizontal="left" vertical="center"/>
    </xf>
    <xf numFmtId="166" fontId="18" fillId="2" borderId="75" xfId="1" applyNumberFormat="1" applyFont="1" applyFill="1" applyBorder="1" applyAlignment="1">
      <alignment vertical="center"/>
    </xf>
    <xf numFmtId="166" fontId="35" fillId="3" borderId="4" xfId="1" applyNumberFormat="1" applyFont="1" applyFill="1" applyBorder="1" applyAlignment="1">
      <alignment vertical="center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 wrapText="1"/>
    </xf>
    <xf numFmtId="166" fontId="29" fillId="0" borderId="0" xfId="0" applyNumberFormat="1" applyFont="1" applyAlignment="1">
      <alignment horizontal="center" vertical="center" shrinkToFit="1"/>
    </xf>
    <xf numFmtId="0" fontId="30" fillId="0" borderId="0" xfId="0" applyFont="1" applyAlignment="1">
      <alignment horizontal="center" wrapText="1"/>
    </xf>
    <xf numFmtId="166" fontId="36" fillId="0" borderId="0" xfId="0" applyNumberFormat="1" applyFont="1" applyAlignment="1">
      <alignment horizontal="right" vertical="center" wrapText="1"/>
    </xf>
    <xf numFmtId="166" fontId="18" fillId="0" borderId="0" xfId="1" applyNumberFormat="1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1" fontId="25" fillId="0" borderId="76" xfId="0" applyNumberFormat="1" applyFont="1" applyBorder="1" applyAlignment="1">
      <alignment horizontal="center" vertical="center" shrinkToFit="1"/>
    </xf>
    <xf numFmtId="3" fontId="25" fillId="0" borderId="47" xfId="0" applyNumberFormat="1" applyFont="1" applyBorder="1" applyAlignment="1">
      <alignment horizontal="center" vertical="center" shrinkToFit="1"/>
    </xf>
    <xf numFmtId="0" fontId="24" fillId="0" borderId="78" xfId="0" applyFont="1" applyBorder="1" applyAlignment="1">
      <alignment horizontal="left" vertical="center" wrapText="1"/>
    </xf>
    <xf numFmtId="3" fontId="25" fillId="0" borderId="79" xfId="0" applyNumberFormat="1" applyFont="1" applyBorder="1" applyAlignment="1">
      <alignment horizontal="center" vertical="center" shrinkToFit="1"/>
    </xf>
    <xf numFmtId="3" fontId="25" fillId="0" borderId="80" xfId="0" applyNumberFormat="1" applyFont="1" applyBorder="1" applyAlignment="1">
      <alignment horizontal="center" vertical="center" shrinkToFit="1"/>
    </xf>
    <xf numFmtId="0" fontId="13" fillId="0" borderId="65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166" fontId="18" fillId="5" borderId="5" xfId="1" applyNumberFormat="1" applyFont="1" applyFill="1" applyBorder="1" applyAlignment="1">
      <alignment vertical="center"/>
    </xf>
    <xf numFmtId="165" fontId="19" fillId="5" borderId="4" xfId="2" applyNumberFormat="1" applyFont="1" applyFill="1" applyBorder="1" applyAlignment="1">
      <alignment vertical="center"/>
    </xf>
    <xf numFmtId="166" fontId="18" fillId="5" borderId="4" xfId="1" applyNumberFormat="1" applyFont="1" applyFill="1" applyBorder="1" applyAlignment="1">
      <alignment vertical="center"/>
    </xf>
    <xf numFmtId="167" fontId="29" fillId="5" borderId="60" xfId="0" applyNumberFormat="1" applyFont="1" applyFill="1" applyBorder="1" applyAlignment="1">
      <alignment horizontal="right" vertical="center" wrapText="1"/>
    </xf>
    <xf numFmtId="164" fontId="14" fillId="5" borderId="59" xfId="1" applyNumberFormat="1" applyFont="1" applyFill="1" applyBorder="1" applyAlignment="1">
      <alignment horizontal="right" vertical="center" wrapText="1"/>
    </xf>
    <xf numFmtId="166" fontId="29" fillId="5" borderId="60" xfId="0" applyNumberFormat="1" applyFont="1" applyFill="1" applyBorder="1" applyAlignment="1">
      <alignment horizontal="right" vertical="center" wrapText="1"/>
    </xf>
    <xf numFmtId="166" fontId="18" fillId="5" borderId="4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166" fontId="10" fillId="0" borderId="0" xfId="0" applyNumberFormat="1" applyFont="1"/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vertical="top"/>
    </xf>
    <xf numFmtId="3" fontId="10" fillId="0" borderId="41" xfId="0" applyNumberFormat="1" applyFont="1" applyBorder="1" applyAlignment="1">
      <alignment horizontal="center" vertical="center"/>
    </xf>
    <xf numFmtId="0" fontId="11" fillId="0" borderId="5" xfId="0" applyFont="1" applyBorder="1"/>
    <xf numFmtId="3" fontId="10" fillId="0" borderId="5" xfId="0" applyNumberFormat="1" applyFont="1" applyBorder="1" applyAlignment="1">
      <alignment horizontal="center" vertical="center"/>
    </xf>
    <xf numFmtId="0" fontId="40" fillId="0" borderId="0" xfId="0" applyFont="1" applyAlignment="1">
      <alignment horizontal="left" vertical="top"/>
    </xf>
    <xf numFmtId="3" fontId="12" fillId="0" borderId="2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166" fontId="19" fillId="0" borderId="4" xfId="0" applyNumberFormat="1" applyFont="1" applyBorder="1" applyAlignment="1">
      <alignment horizontal="center" vertical="center"/>
    </xf>
    <xf numFmtId="0" fontId="30" fillId="0" borderId="58" xfId="0" applyFont="1" applyBorder="1" applyAlignment="1">
      <alignment horizontal="center" wrapText="1"/>
    </xf>
    <xf numFmtId="3" fontId="12" fillId="5" borderId="15" xfId="0" applyNumberFormat="1" applyFont="1" applyFill="1" applyBorder="1" applyAlignment="1">
      <alignment horizontal="center" vertical="center"/>
    </xf>
    <xf numFmtId="3" fontId="12" fillId="5" borderId="3" xfId="0" applyNumberFormat="1" applyFont="1" applyFill="1" applyBorder="1" applyAlignment="1">
      <alignment horizontal="center" vertical="center"/>
    </xf>
    <xf numFmtId="3" fontId="12" fillId="5" borderId="26" xfId="0" applyNumberFormat="1" applyFont="1" applyFill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165" fontId="19" fillId="3" borderId="4" xfId="2" applyNumberFormat="1" applyFont="1" applyFill="1" applyBorder="1" applyAlignment="1">
      <alignment vertical="center"/>
    </xf>
    <xf numFmtId="3" fontId="15" fillId="5" borderId="15" xfId="0" applyNumberFormat="1" applyFont="1" applyFill="1" applyBorder="1" applyAlignment="1">
      <alignment horizontal="center" vertical="center"/>
    </xf>
    <xf numFmtId="3" fontId="15" fillId="5" borderId="2" xfId="0" applyNumberFormat="1" applyFont="1" applyFill="1" applyBorder="1" applyAlignment="1">
      <alignment horizontal="center" vertical="center"/>
    </xf>
    <xf numFmtId="166" fontId="14" fillId="6" borderId="4" xfId="2" applyNumberFormat="1" applyFont="1" applyFill="1" applyBorder="1" applyAlignment="1">
      <alignment vertical="center"/>
    </xf>
    <xf numFmtId="0" fontId="38" fillId="6" borderId="10" xfId="0" applyFont="1" applyFill="1" applyBorder="1" applyAlignment="1">
      <alignment horizontal="left" vertical="center"/>
    </xf>
    <xf numFmtId="0" fontId="10" fillId="0" borderId="14" xfId="0" applyFont="1" applyBorder="1"/>
    <xf numFmtId="0" fontId="10" fillId="0" borderId="15" xfId="0" applyFont="1" applyBorder="1"/>
    <xf numFmtId="0" fontId="10" fillId="0" borderId="84" xfId="0" applyFont="1" applyBorder="1"/>
    <xf numFmtId="0" fontId="10" fillId="0" borderId="3" xfId="0" applyFont="1" applyBorder="1"/>
    <xf numFmtId="166" fontId="10" fillId="0" borderId="3" xfId="0" applyNumberFormat="1" applyFont="1" applyBorder="1"/>
    <xf numFmtId="165" fontId="19" fillId="3" borderId="45" xfId="2" applyNumberFormat="1" applyFont="1" applyFill="1" applyBorder="1" applyAlignment="1">
      <alignment vertical="center"/>
    </xf>
    <xf numFmtId="165" fontId="19" fillId="2" borderId="4" xfId="2" applyNumberFormat="1" applyFont="1" applyFill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2" fillId="0" borderId="50" xfId="0" applyFont="1" applyBorder="1" applyAlignment="1">
      <alignment horizontal="left" vertical="center" wrapText="1"/>
    </xf>
    <xf numFmtId="0" fontId="22" fillId="0" borderId="46" xfId="0" applyFont="1" applyBorder="1" applyAlignment="1">
      <alignment horizontal="left" vertical="center" wrapText="1"/>
    </xf>
    <xf numFmtId="0" fontId="22" fillId="0" borderId="55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166" fontId="10" fillId="0" borderId="8" xfId="0" applyNumberFormat="1" applyFont="1" applyBorder="1" applyAlignment="1">
      <alignment vertical="center"/>
    </xf>
    <xf numFmtId="166" fontId="38" fillId="0" borderId="8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166" fontId="10" fillId="0" borderId="9" xfId="0" applyNumberFormat="1" applyFont="1" applyBorder="1" applyAlignment="1">
      <alignment vertical="center"/>
    </xf>
    <xf numFmtId="0" fontId="10" fillId="0" borderId="82" xfId="0" applyFont="1" applyBorder="1" applyAlignment="1">
      <alignment vertical="center"/>
    </xf>
    <xf numFmtId="0" fontId="10" fillId="0" borderId="73" xfId="0" applyFont="1" applyBorder="1" applyAlignment="1">
      <alignment vertical="center"/>
    </xf>
    <xf numFmtId="0" fontId="10" fillId="0" borderId="85" xfId="0" applyFont="1" applyBorder="1"/>
    <xf numFmtId="0" fontId="10" fillId="0" borderId="26" xfId="0" applyFont="1" applyBorder="1"/>
    <xf numFmtId="166" fontId="10" fillId="0" borderId="26" xfId="0" applyNumberFormat="1" applyFont="1" applyBorder="1"/>
    <xf numFmtId="166" fontId="18" fillId="6" borderId="4" xfId="1" applyNumberFormat="1" applyFont="1" applyFill="1" applyBorder="1" applyAlignment="1">
      <alignment vertical="center"/>
    </xf>
    <xf numFmtId="166" fontId="38" fillId="6" borderId="0" xfId="0" applyNumberFormat="1" applyFont="1" applyFill="1"/>
    <xf numFmtId="0" fontId="15" fillId="6" borderId="0" xfId="0" applyFont="1" applyFill="1"/>
    <xf numFmtId="3" fontId="14" fillId="0" borderId="50" xfId="0" applyNumberFormat="1" applyFont="1" applyBorder="1" applyAlignment="1">
      <alignment horizontal="right" vertical="center" wrapText="1"/>
    </xf>
    <xf numFmtId="3" fontId="14" fillId="0" borderId="46" xfId="0" applyNumberFormat="1" applyFont="1" applyBorder="1" applyAlignment="1">
      <alignment horizontal="right" vertical="center"/>
    </xf>
    <xf numFmtId="3" fontId="14" fillId="0" borderId="55" xfId="0" applyNumberFormat="1" applyFont="1" applyBorder="1" applyAlignment="1">
      <alignment horizontal="right" vertical="center"/>
    </xf>
    <xf numFmtId="166" fontId="14" fillId="2" borderId="60" xfId="0" applyNumberFormat="1" applyFont="1" applyFill="1" applyBorder="1" applyAlignment="1">
      <alignment horizontal="right" vertical="center" wrapText="1"/>
    </xf>
    <xf numFmtId="166" fontId="29" fillId="3" borderId="62" xfId="0" applyNumberFormat="1" applyFont="1" applyFill="1" applyBorder="1" applyAlignment="1">
      <alignment horizontal="center" vertical="center" shrinkToFit="1"/>
    </xf>
    <xf numFmtId="166" fontId="18" fillId="3" borderId="24" xfId="1" applyNumberFormat="1" applyFont="1" applyFill="1" applyBorder="1" applyAlignment="1">
      <alignment vertical="center"/>
    </xf>
    <xf numFmtId="166" fontId="18" fillId="5" borderId="24" xfId="1" applyNumberFormat="1" applyFont="1" applyFill="1" applyBorder="1" applyAlignment="1">
      <alignment vertical="center"/>
    </xf>
    <xf numFmtId="166" fontId="18" fillId="3" borderId="5" xfId="1" applyNumberFormat="1" applyFont="1" applyFill="1" applyBorder="1" applyAlignment="1">
      <alignment vertical="center"/>
    </xf>
    <xf numFmtId="166" fontId="18" fillId="3" borderId="45" xfId="1" applyNumberFormat="1" applyFont="1" applyFill="1" applyBorder="1" applyAlignment="1">
      <alignment vertical="center"/>
    </xf>
    <xf numFmtId="166" fontId="18" fillId="2" borderId="4" xfId="1" applyNumberFormat="1" applyFont="1" applyFill="1" applyBorder="1" applyAlignment="1">
      <alignment vertical="center"/>
    </xf>
    <xf numFmtId="166" fontId="18" fillId="3" borderId="4" xfId="1" applyNumberFormat="1" applyFont="1" applyFill="1" applyBorder="1" applyAlignment="1">
      <alignment vertical="center"/>
    </xf>
    <xf numFmtId="166" fontId="19" fillId="6" borderId="4" xfId="1" applyNumberFormat="1" applyFont="1" applyFill="1" applyBorder="1" applyAlignment="1">
      <alignment vertical="center"/>
    </xf>
    <xf numFmtId="166" fontId="18" fillId="3" borderId="75" xfId="1" applyNumberFormat="1" applyFont="1" applyFill="1" applyBorder="1" applyAlignment="1">
      <alignment vertical="center"/>
    </xf>
    <xf numFmtId="3" fontId="14" fillId="0" borderId="50" xfId="1" applyNumberFormat="1" applyFont="1" applyBorder="1" applyAlignment="1">
      <alignment horizontal="right" vertical="center" wrapText="1"/>
    </xf>
    <xf numFmtId="3" fontId="14" fillId="0" borderId="46" xfId="1" applyNumberFormat="1" applyFont="1" applyFill="1" applyBorder="1" applyAlignment="1">
      <alignment horizontal="right" vertical="center"/>
    </xf>
    <xf numFmtId="164" fontId="14" fillId="2" borderId="59" xfId="1" applyNumberFormat="1" applyFont="1" applyFill="1" applyBorder="1" applyAlignment="1">
      <alignment horizontal="right" vertical="center" wrapText="1"/>
    </xf>
    <xf numFmtId="166" fontId="18" fillId="5" borderId="15" xfId="1" applyNumberFormat="1" applyFont="1" applyFill="1" applyBorder="1" applyAlignment="1">
      <alignment vertical="center"/>
    </xf>
    <xf numFmtId="166" fontId="18" fillId="5" borderId="3" xfId="1" applyNumberFormat="1" applyFont="1" applyFill="1" applyBorder="1" applyAlignment="1">
      <alignment vertical="center"/>
    </xf>
    <xf numFmtId="166" fontId="18" fillId="5" borderId="26" xfId="1" applyNumberFormat="1" applyFont="1" applyFill="1" applyBorder="1" applyAlignment="1">
      <alignment vertical="center"/>
    </xf>
    <xf numFmtId="0" fontId="39" fillId="0" borderId="58" xfId="0" applyFont="1" applyBorder="1" applyAlignment="1">
      <alignment horizontal="center" wrapText="1"/>
    </xf>
    <xf numFmtId="3" fontId="14" fillId="0" borderId="78" xfId="0" applyNumberFormat="1" applyFont="1" applyBorder="1" applyAlignment="1">
      <alignment horizontal="right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166" fontId="29" fillId="4" borderId="62" xfId="0" applyNumberFormat="1" applyFont="1" applyFill="1" applyBorder="1" applyAlignment="1">
      <alignment horizontal="center" vertical="center" shrinkToFit="1"/>
    </xf>
    <xf numFmtId="3" fontId="37" fillId="4" borderId="67" xfId="0" applyNumberFormat="1" applyFont="1" applyFill="1" applyBorder="1" applyAlignment="1">
      <alignment horizontal="center" vertical="center" shrinkToFit="1"/>
    </xf>
    <xf numFmtId="3" fontId="37" fillId="4" borderId="68" xfId="0" applyNumberFormat="1" applyFont="1" applyFill="1" applyBorder="1" applyAlignment="1">
      <alignment horizontal="center" vertical="center" shrinkToFit="1"/>
    </xf>
    <xf numFmtId="3" fontId="37" fillId="4" borderId="69" xfId="0" applyNumberFormat="1" applyFont="1" applyFill="1" applyBorder="1" applyAlignment="1">
      <alignment horizontal="center" vertical="center" shrinkToFit="1"/>
    </xf>
    <xf numFmtId="166" fontId="19" fillId="0" borderId="0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66" fontId="18" fillId="4" borderId="5" xfId="1" applyNumberFormat="1" applyFont="1" applyFill="1" applyBorder="1" applyAlignment="1">
      <alignment vertical="center"/>
    </xf>
    <xf numFmtId="0" fontId="10" fillId="0" borderId="99" xfId="0" applyFont="1" applyBorder="1" applyAlignment="1">
      <alignment horizontal="left" vertical="top"/>
    </xf>
    <xf numFmtId="0" fontId="10" fillId="0" borderId="100" xfId="0" applyFont="1" applyBorder="1" applyAlignment="1">
      <alignment horizontal="left" vertical="top"/>
    </xf>
    <xf numFmtId="0" fontId="10" fillId="0" borderId="52" xfId="0" applyFont="1" applyBorder="1" applyAlignment="1">
      <alignment horizontal="left" vertical="top"/>
    </xf>
    <xf numFmtId="0" fontId="10" fillId="0" borderId="46" xfId="0" applyFont="1" applyBorder="1" applyAlignment="1">
      <alignment horizontal="left" vertical="top"/>
    </xf>
    <xf numFmtId="166" fontId="10" fillId="0" borderId="46" xfId="0" applyNumberFormat="1" applyFont="1" applyBorder="1" applyAlignment="1">
      <alignment horizontal="left" vertical="top"/>
    </xf>
    <xf numFmtId="0" fontId="10" fillId="0" borderId="101" xfId="0" applyFont="1" applyBorder="1" applyAlignment="1">
      <alignment horizontal="left" vertical="top"/>
    </xf>
    <xf numFmtId="0" fontId="10" fillId="0" borderId="102" xfId="0" applyFont="1" applyBorder="1" applyAlignment="1">
      <alignment horizontal="left" vertical="top"/>
    </xf>
    <xf numFmtId="0" fontId="12" fillId="5" borderId="72" xfId="0" applyFont="1" applyFill="1" applyBorder="1" applyAlignment="1">
      <alignment horizontal="left" vertical="center"/>
    </xf>
    <xf numFmtId="0" fontId="14" fillId="5" borderId="74" xfId="0" applyFont="1" applyFill="1" applyBorder="1" applyAlignment="1">
      <alignment horizontal="left" vertical="center"/>
    </xf>
    <xf numFmtId="3" fontId="25" fillId="0" borderId="103" xfId="0" applyNumberFormat="1" applyFont="1" applyBorder="1" applyAlignment="1">
      <alignment horizontal="center" vertical="center" shrinkToFit="1"/>
    </xf>
    <xf numFmtId="3" fontId="25" fillId="0" borderId="104" xfId="0" applyNumberFormat="1" applyFont="1" applyBorder="1" applyAlignment="1">
      <alignment horizontal="center" vertical="center" shrinkToFit="1"/>
    </xf>
    <xf numFmtId="3" fontId="15" fillId="0" borderId="38" xfId="0" applyNumberFormat="1" applyFont="1" applyBorder="1" applyAlignment="1">
      <alignment horizontal="center" vertical="center"/>
    </xf>
    <xf numFmtId="3" fontId="10" fillId="0" borderId="38" xfId="0" applyNumberFormat="1" applyFont="1" applyBorder="1" applyAlignment="1">
      <alignment horizontal="center" vertical="center"/>
    </xf>
    <xf numFmtId="3" fontId="10" fillId="0" borderId="98" xfId="0" applyNumberFormat="1" applyFont="1" applyBorder="1" applyAlignment="1">
      <alignment horizontal="center" vertical="center"/>
    </xf>
    <xf numFmtId="165" fontId="15" fillId="4" borderId="100" xfId="2" applyNumberFormat="1" applyFont="1" applyFill="1" applyBorder="1" applyAlignment="1">
      <alignment horizontal="right" vertical="center"/>
    </xf>
    <xf numFmtId="165" fontId="15" fillId="4" borderId="46" xfId="2" applyNumberFormat="1" applyFont="1" applyFill="1" applyBorder="1" applyAlignment="1">
      <alignment horizontal="right" vertical="center"/>
    </xf>
    <xf numFmtId="165" fontId="15" fillId="4" borderId="102" xfId="2" applyNumberFormat="1" applyFont="1" applyFill="1" applyBorder="1" applyAlignment="1">
      <alignment horizontal="right" vertical="center"/>
    </xf>
    <xf numFmtId="168" fontId="38" fillId="5" borderId="50" xfId="0" applyNumberFormat="1" applyFont="1" applyFill="1" applyBorder="1" applyAlignment="1">
      <alignment horizontal="right" vertical="center" wrapText="1"/>
    </xf>
    <xf numFmtId="168" fontId="38" fillId="5" borderId="46" xfId="0" applyNumberFormat="1" applyFont="1" applyFill="1" applyBorder="1" applyAlignment="1">
      <alignment horizontal="right" vertical="center"/>
    </xf>
    <xf numFmtId="168" fontId="38" fillId="5" borderId="55" xfId="0" applyNumberFormat="1" applyFont="1" applyFill="1" applyBorder="1" applyAlignment="1">
      <alignment horizontal="right" vertical="center"/>
    </xf>
    <xf numFmtId="3" fontId="37" fillId="5" borderId="50" xfId="1" applyNumberFormat="1" applyFont="1" applyFill="1" applyBorder="1" applyAlignment="1">
      <alignment horizontal="right" vertical="center" wrapText="1"/>
    </xf>
    <xf numFmtId="3" fontId="38" fillId="5" borderId="46" xfId="1" applyNumberFormat="1" applyFont="1" applyFill="1" applyBorder="1" applyAlignment="1">
      <alignment horizontal="right" vertical="center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14" fontId="10" fillId="0" borderId="0" xfId="0" applyNumberFormat="1" applyFont="1"/>
    <xf numFmtId="165" fontId="15" fillId="5" borderId="100" xfId="0" applyNumberFormat="1" applyFont="1" applyFill="1" applyBorder="1" applyAlignment="1">
      <alignment horizontal="right" vertical="center"/>
    </xf>
    <xf numFmtId="165" fontId="15" fillId="5" borderId="46" xfId="0" applyNumberFormat="1" applyFont="1" applyFill="1" applyBorder="1" applyAlignment="1">
      <alignment horizontal="right" vertical="center"/>
    </xf>
    <xf numFmtId="165" fontId="15" fillId="5" borderId="102" xfId="0" applyNumberFormat="1" applyFont="1" applyFill="1" applyBorder="1" applyAlignment="1">
      <alignment horizontal="right" vertical="center"/>
    </xf>
    <xf numFmtId="0" fontId="42" fillId="5" borderId="36" xfId="0" applyFont="1" applyFill="1" applyBorder="1"/>
    <xf numFmtId="0" fontId="42" fillId="5" borderId="18" xfId="0" applyFont="1" applyFill="1" applyBorder="1"/>
    <xf numFmtId="0" fontId="42" fillId="5" borderId="86" xfId="0" applyFont="1" applyFill="1" applyBorder="1"/>
    <xf numFmtId="0" fontId="15" fillId="5" borderId="77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4" fontId="13" fillId="0" borderId="77" xfId="0" applyNumberFormat="1" applyFont="1" applyBorder="1" applyAlignment="1">
      <alignment horizontal="left" vertical="center" wrapText="1"/>
    </xf>
    <xf numFmtId="4" fontId="16" fillId="0" borderId="0" xfId="0" applyNumberFormat="1" applyFont="1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4" fontId="10" fillId="0" borderId="14" xfId="0" applyNumberFormat="1" applyFont="1" applyBorder="1"/>
    <xf numFmtId="4" fontId="10" fillId="0" borderId="84" xfId="0" applyNumberFormat="1" applyFont="1" applyBorder="1"/>
    <xf numFmtId="4" fontId="10" fillId="0" borderId="85" xfId="0" applyNumberFormat="1" applyFont="1" applyBorder="1"/>
    <xf numFmtId="4" fontId="10" fillId="0" borderId="15" xfId="0" applyNumberFormat="1" applyFont="1" applyBorder="1"/>
    <xf numFmtId="4" fontId="10" fillId="0" borderId="3" xfId="0" applyNumberFormat="1" applyFont="1" applyBorder="1"/>
    <xf numFmtId="4" fontId="10" fillId="0" borderId="26" xfId="0" applyNumberFormat="1" applyFont="1" applyBorder="1"/>
    <xf numFmtId="4" fontId="10" fillId="0" borderId="15" xfId="0" applyNumberFormat="1" applyFont="1" applyBorder="1" applyAlignment="1">
      <alignment vertical="center"/>
    </xf>
    <xf numFmtId="4" fontId="10" fillId="0" borderId="3" xfId="0" applyNumberFormat="1" applyFont="1" applyBorder="1" applyAlignment="1">
      <alignment vertical="center"/>
    </xf>
    <xf numFmtId="4" fontId="10" fillId="0" borderId="26" xfId="0" applyNumberFormat="1" applyFont="1" applyBorder="1" applyAlignment="1">
      <alignment vertical="center"/>
    </xf>
    <xf numFmtId="4" fontId="10" fillId="0" borderId="15" xfId="0" applyNumberFormat="1" applyFont="1" applyBorder="1" applyAlignment="1">
      <alignment horizontal="right" vertical="top"/>
    </xf>
    <xf numFmtId="4" fontId="10" fillId="0" borderId="3" xfId="0" applyNumberFormat="1" applyFont="1" applyBorder="1" applyAlignment="1">
      <alignment horizontal="right" vertical="top"/>
    </xf>
    <xf numFmtId="4" fontId="10" fillId="0" borderId="26" xfId="0" applyNumberFormat="1" applyFont="1" applyBorder="1" applyAlignment="1">
      <alignment horizontal="right" vertical="top"/>
    </xf>
    <xf numFmtId="4" fontId="13" fillId="0" borderId="47" xfId="0" applyNumberFormat="1" applyFont="1" applyBorder="1" applyAlignment="1">
      <alignment horizontal="left" vertical="center" wrapText="1"/>
    </xf>
    <xf numFmtId="4" fontId="10" fillId="0" borderId="99" xfId="0" applyNumberFormat="1" applyFont="1" applyBorder="1" applyAlignment="1">
      <alignment horizontal="right" vertical="top"/>
    </xf>
    <xf numFmtId="4" fontId="10" fillId="0" borderId="52" xfId="0" applyNumberFormat="1" applyFont="1" applyBorder="1" applyAlignment="1">
      <alignment horizontal="right" vertical="top"/>
    </xf>
    <xf numFmtId="4" fontId="10" fillId="0" borderId="101" xfId="0" applyNumberFormat="1" applyFont="1" applyBorder="1" applyAlignment="1">
      <alignment horizontal="right" vertical="top"/>
    </xf>
    <xf numFmtId="6" fontId="0" fillId="0" borderId="0" xfId="0" applyNumberFormat="1"/>
    <xf numFmtId="9" fontId="25" fillId="0" borderId="0" xfId="0" applyNumberFormat="1" applyFont="1" applyAlignment="1">
      <alignment horizontal="left" wrapText="1"/>
    </xf>
    <xf numFmtId="167" fontId="0" fillId="0" borderId="0" xfId="0" applyNumberFormat="1" applyAlignment="1">
      <alignment horizontal="center" vertical="center"/>
    </xf>
    <xf numFmtId="164" fontId="46" fillId="5" borderId="59" xfId="1" applyNumberFormat="1" applyFont="1" applyFill="1" applyBorder="1" applyAlignment="1">
      <alignment horizontal="right" vertical="center" wrapText="1"/>
    </xf>
    <xf numFmtId="166" fontId="47" fillId="5" borderId="60" xfId="0" applyNumberFormat="1" applyFont="1" applyFill="1" applyBorder="1" applyAlignment="1">
      <alignment horizontal="right" vertical="center" wrapText="1"/>
    </xf>
    <xf numFmtId="166" fontId="0" fillId="0" borderId="7" xfId="0" applyNumberFormat="1" applyBorder="1"/>
    <xf numFmtId="166" fontId="0" fillId="4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0" fillId="5" borderId="0" xfId="0" applyFont="1" applyFill="1"/>
    <xf numFmtId="3" fontId="15" fillId="5" borderId="3" xfId="0" applyNumberFormat="1" applyFont="1" applyFill="1" applyBorder="1" applyAlignment="1">
      <alignment horizontal="center" vertical="center"/>
    </xf>
    <xf numFmtId="4" fontId="10" fillId="0" borderId="106" xfId="0" applyNumberFormat="1" applyFont="1" applyBorder="1" applyAlignment="1">
      <alignment vertical="center"/>
    </xf>
    <xf numFmtId="0" fontId="8" fillId="0" borderId="32" xfId="0" applyFont="1" applyBorder="1" applyAlignment="1">
      <alignment horizontal="left" vertical="center"/>
    </xf>
    <xf numFmtId="3" fontId="10" fillId="0" borderId="107" xfId="0" applyNumberFormat="1" applyFont="1" applyBorder="1" applyAlignment="1">
      <alignment horizontal="center" vertical="center"/>
    </xf>
    <xf numFmtId="0" fontId="8" fillId="0" borderId="108" xfId="0" applyFont="1" applyBorder="1" applyAlignment="1">
      <alignment horizontal="left" vertical="center"/>
    </xf>
    <xf numFmtId="3" fontId="10" fillId="0" borderId="108" xfId="0" applyNumberFormat="1" applyFont="1" applyBorder="1" applyAlignment="1">
      <alignment horizontal="center" vertical="center"/>
    </xf>
    <xf numFmtId="3" fontId="10" fillId="0" borderId="109" xfId="0" applyNumberFormat="1" applyFont="1" applyBorder="1" applyAlignment="1">
      <alignment horizontal="center" vertical="center"/>
    </xf>
    <xf numFmtId="3" fontId="15" fillId="5" borderId="26" xfId="0" applyNumberFormat="1" applyFont="1" applyFill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8" fillId="0" borderId="110" xfId="0" applyFont="1" applyBorder="1" applyAlignment="1">
      <alignment horizontal="left" vertical="center"/>
    </xf>
    <xf numFmtId="3" fontId="10" fillId="0" borderId="110" xfId="0" applyNumberFormat="1" applyFont="1" applyBorder="1" applyAlignment="1">
      <alignment horizontal="center" vertical="center"/>
    </xf>
    <xf numFmtId="3" fontId="10" fillId="0" borderId="111" xfId="0" applyNumberFormat="1" applyFont="1" applyBorder="1" applyAlignment="1">
      <alignment horizontal="center" vertical="center"/>
    </xf>
    <xf numFmtId="3" fontId="15" fillId="5" borderId="106" xfId="0" applyNumberFormat="1" applyFont="1" applyFill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3" fontId="15" fillId="2" borderId="3" xfId="0" applyNumberFormat="1" applyFont="1" applyFill="1" applyBorder="1" applyAlignment="1">
      <alignment horizontal="center" vertical="center"/>
    </xf>
    <xf numFmtId="166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66" fontId="49" fillId="3" borderId="30" xfId="0" applyNumberFormat="1" applyFont="1" applyFill="1" applyBorder="1" applyAlignment="1">
      <alignment horizontal="center" vertical="center"/>
    </xf>
    <xf numFmtId="166" fontId="49" fillId="5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3" fontId="15" fillId="2" borderId="15" xfId="0" applyNumberFormat="1" applyFont="1" applyFill="1" applyBorder="1" applyAlignment="1">
      <alignment horizontal="center" vertical="center"/>
    </xf>
    <xf numFmtId="3" fontId="21" fillId="2" borderId="15" xfId="0" applyNumberFormat="1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/>
    </xf>
    <xf numFmtId="3" fontId="21" fillId="2" borderId="26" xfId="0" applyNumberFormat="1" applyFont="1" applyFill="1" applyBorder="1" applyAlignment="1">
      <alignment horizontal="center" vertical="center"/>
    </xf>
    <xf numFmtId="3" fontId="32" fillId="5" borderId="15" xfId="0" applyNumberFormat="1" applyFont="1" applyFill="1" applyBorder="1" applyAlignment="1">
      <alignment horizontal="center" vertical="center"/>
    </xf>
    <xf numFmtId="3" fontId="32" fillId="5" borderId="2" xfId="0" applyNumberFormat="1" applyFon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3" xfId="0" applyFont="1" applyBorder="1" applyAlignment="1">
      <alignment horizontal="left" vertical="center" wrapText="1"/>
    </xf>
    <xf numFmtId="0" fontId="8" fillId="0" borderId="90" xfId="0" applyFont="1" applyBorder="1" applyAlignment="1">
      <alignment horizontal="center" vertical="center" wrapText="1"/>
    </xf>
    <xf numFmtId="0" fontId="8" fillId="0" borderId="96" xfId="0" applyFont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9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42" fillId="5" borderId="16" xfId="0" applyFont="1" applyFill="1" applyBorder="1" applyAlignment="1">
      <alignment horizontal="left" vertical="center" wrapText="1"/>
    </xf>
    <xf numFmtId="0" fontId="43" fillId="5" borderId="22" xfId="0" applyFont="1" applyFill="1" applyBorder="1" applyAlignment="1">
      <alignment horizontal="left" vertical="center" wrapText="1"/>
    </xf>
    <xf numFmtId="0" fontId="43" fillId="5" borderId="17" xfId="0" applyFont="1" applyFill="1" applyBorder="1" applyAlignment="1">
      <alignment horizontal="left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73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26" fillId="0" borderId="7" xfId="0" applyFont="1" applyBorder="1" applyAlignment="1">
      <alignment horizontal="left" vertical="center" wrapText="1"/>
    </xf>
    <xf numFmtId="0" fontId="7" fillId="0" borderId="93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left" vertical="center" wrapText="1"/>
    </xf>
    <xf numFmtId="0" fontId="8" fillId="0" borderId="91" xfId="0" applyFont="1" applyBorder="1" applyAlignment="1">
      <alignment horizontal="center" vertical="center" wrapText="1"/>
    </xf>
    <xf numFmtId="0" fontId="2" fillId="3" borderId="89" xfId="0" applyFont="1" applyFill="1" applyBorder="1" applyAlignment="1">
      <alignment horizontal="center" vertical="center" wrapText="1"/>
    </xf>
    <xf numFmtId="0" fontId="24" fillId="0" borderId="57" xfId="0" applyFont="1" applyBorder="1" applyAlignment="1">
      <alignment horizontal="left" vertical="top" wrapText="1"/>
    </xf>
    <xf numFmtId="0" fontId="24" fillId="0" borderId="61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83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73" xfId="0" applyFont="1" applyFill="1" applyBorder="1" applyAlignment="1">
      <alignment horizontal="center" vertical="center" wrapText="1"/>
    </xf>
    <xf numFmtId="0" fontId="21" fillId="0" borderId="8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 wrapText="1"/>
    </xf>
    <xf numFmtId="0" fontId="2" fillId="0" borderId="92" xfId="0" applyFont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89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83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7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2" borderId="90" xfId="0" applyFont="1" applyFill="1" applyBorder="1" applyAlignment="1">
      <alignment horizontal="center" vertical="center" wrapText="1"/>
    </xf>
    <xf numFmtId="0" fontId="2" fillId="2" borderId="91" xfId="0" applyFont="1" applyFill="1" applyBorder="1" applyAlignment="1">
      <alignment horizontal="center" vertical="center" wrapText="1"/>
    </xf>
    <xf numFmtId="0" fontId="2" fillId="0" borderId="97" xfId="0" applyFont="1" applyBorder="1" applyAlignment="1">
      <alignment horizontal="center" vertical="center" wrapText="1"/>
    </xf>
    <xf numFmtId="0" fontId="2" fillId="2" borderId="96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/>
    <xf numFmtId="0" fontId="21" fillId="0" borderId="36" xfId="0" applyFont="1" applyFill="1" applyBorder="1" applyAlignment="1">
      <alignment horizontal="center" vertical="center"/>
    </xf>
    <xf numFmtId="0" fontId="21" fillId="0" borderId="86" xfId="0" applyFont="1" applyFill="1" applyBorder="1" applyAlignment="1">
      <alignment horizontal="center" vertical="center"/>
    </xf>
    <xf numFmtId="0" fontId="10" fillId="0" borderId="0" xfId="0" applyFont="1" applyFill="1"/>
    <xf numFmtId="0" fontId="28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center"/>
    </xf>
    <xf numFmtId="0" fontId="1" fillId="0" borderId="0" xfId="0" applyFont="1" applyFill="1"/>
    <xf numFmtId="166" fontId="0" fillId="0" borderId="7" xfId="0" applyNumberFormat="1" applyFill="1" applyBorder="1"/>
    <xf numFmtId="0" fontId="0" fillId="0" borderId="7" xfId="0" applyFill="1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3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3" fontId="14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 wrapText="1"/>
    </xf>
    <xf numFmtId="0" fontId="40" fillId="0" borderId="0" xfId="0" applyFont="1" applyFill="1" applyAlignment="1">
      <alignment horizontal="left" vertical="top"/>
    </xf>
    <xf numFmtId="16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left" vertical="center" wrapText="1"/>
    </xf>
    <xf numFmtId="4" fontId="16" fillId="0" borderId="0" xfId="0" applyNumberFormat="1" applyFont="1" applyFill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9" borderId="8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8" fillId="0" borderId="112" xfId="0" applyFont="1" applyBorder="1" applyAlignment="1">
      <alignment horizontal="left" vertical="center" wrapText="1"/>
    </xf>
    <xf numFmtId="0" fontId="21" fillId="0" borderId="15" xfId="0" applyFont="1" applyFill="1" applyBorder="1" applyAlignment="1">
      <alignment horizontal="center" vertical="center"/>
    </xf>
    <xf numFmtId="0" fontId="2" fillId="9" borderId="73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/>
    </xf>
    <xf numFmtId="0" fontId="24" fillId="0" borderId="114" xfId="0" applyFont="1" applyBorder="1" applyAlignment="1">
      <alignment horizontal="left" vertical="top" wrapText="1"/>
    </xf>
    <xf numFmtId="0" fontId="24" fillId="0" borderId="59" xfId="0" applyFont="1" applyBorder="1" applyAlignment="1">
      <alignment horizontal="left" vertical="top" wrapText="1"/>
    </xf>
    <xf numFmtId="0" fontId="34" fillId="0" borderId="59" xfId="0" applyFont="1" applyFill="1" applyBorder="1" applyAlignment="1">
      <alignment horizontal="left" vertical="center"/>
    </xf>
    <xf numFmtId="0" fontId="22" fillId="0" borderId="112" xfId="0" applyFont="1" applyBorder="1" applyAlignment="1">
      <alignment horizontal="left"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horizontal="left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13" fillId="0" borderId="112" xfId="0" applyFont="1" applyFill="1" applyBorder="1" applyAlignment="1">
      <alignment horizontal="left" vertical="center" wrapText="1"/>
    </xf>
    <xf numFmtId="0" fontId="10" fillId="0" borderId="1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vertical="center"/>
    </xf>
    <xf numFmtId="166" fontId="18" fillId="9" borderId="4" xfId="0" applyNumberFormat="1" applyFont="1" applyFill="1" applyBorder="1" applyAlignment="1">
      <alignment horizontal="right" vertical="center"/>
    </xf>
    <xf numFmtId="164" fontId="12" fillId="0" borderId="15" xfId="1" applyNumberFormat="1" applyFont="1" applyFill="1" applyBorder="1" applyAlignment="1">
      <alignment horizontal="right" vertical="center"/>
    </xf>
    <xf numFmtId="164" fontId="12" fillId="0" borderId="3" xfId="1" applyNumberFormat="1" applyFont="1" applyFill="1" applyBorder="1" applyAlignment="1">
      <alignment horizontal="right" vertical="center"/>
    </xf>
    <xf numFmtId="164" fontId="12" fillId="0" borderId="26" xfId="1" applyNumberFormat="1" applyFont="1" applyFill="1" applyBorder="1" applyAlignment="1">
      <alignment horizontal="right" vertical="center"/>
    </xf>
    <xf numFmtId="164" fontId="15" fillId="0" borderId="15" xfId="1" applyNumberFormat="1" applyFont="1" applyFill="1" applyBorder="1" applyAlignment="1">
      <alignment horizontal="right" vertical="center"/>
    </xf>
    <xf numFmtId="164" fontId="38" fillId="0" borderId="46" xfId="1" applyNumberFormat="1" applyFont="1" applyFill="1" applyBorder="1" applyAlignment="1">
      <alignment horizontal="right" vertical="center"/>
    </xf>
    <xf numFmtId="164" fontId="38" fillId="0" borderId="55" xfId="1" applyNumberFormat="1" applyFont="1" applyFill="1" applyBorder="1" applyAlignment="1">
      <alignment horizontal="right" vertical="center"/>
    </xf>
    <xf numFmtId="164" fontId="38" fillId="0" borderId="112" xfId="1" applyNumberFormat="1" applyFont="1" applyFill="1" applyBorder="1" applyAlignment="1">
      <alignment horizontal="right" vertical="center"/>
    </xf>
    <xf numFmtId="164" fontId="29" fillId="9" borderId="59" xfId="1" applyNumberFormat="1" applyFont="1" applyFill="1" applyBorder="1" applyAlignment="1">
      <alignment horizontal="right" vertical="center" wrapText="1"/>
    </xf>
    <xf numFmtId="164" fontId="10" fillId="0" borderId="20" xfId="1" applyNumberFormat="1" applyFont="1" applyBorder="1" applyAlignment="1">
      <alignment vertical="center"/>
    </xf>
    <xf numFmtId="164" fontId="10" fillId="0" borderId="0" xfId="1" applyNumberFormat="1" applyFont="1" applyAlignment="1">
      <alignment vertical="center"/>
    </xf>
    <xf numFmtId="164" fontId="28" fillId="0" borderId="0" xfId="1" applyNumberFormat="1" applyFont="1" applyAlignment="1">
      <alignment horizontal="left" vertical="top"/>
    </xf>
    <xf numFmtId="164" fontId="2" fillId="3" borderId="16" xfId="1" applyNumberFormat="1" applyFont="1" applyFill="1" applyBorder="1" applyAlignment="1">
      <alignment horizontal="center" vertical="center" wrapText="1"/>
    </xf>
    <xf numFmtId="164" fontId="2" fillId="3" borderId="17" xfId="1" applyNumberFormat="1" applyFont="1" applyFill="1" applyBorder="1" applyAlignment="1">
      <alignment horizontal="center" vertical="center" wrapText="1"/>
    </xf>
    <xf numFmtId="164" fontId="10" fillId="0" borderId="113" xfId="1" applyNumberFormat="1" applyFont="1" applyBorder="1" applyAlignment="1">
      <alignment horizontal="right" vertical="center"/>
    </xf>
    <xf numFmtId="164" fontId="10" fillId="0" borderId="77" xfId="1" applyNumberFormat="1" applyFont="1" applyBorder="1" applyAlignment="1">
      <alignment horizontal="right" vertical="center"/>
    </xf>
    <xf numFmtId="164" fontId="10" fillId="0" borderId="71" xfId="1" applyNumberFormat="1" applyFont="1" applyBorder="1" applyAlignment="1">
      <alignment horizontal="right" vertical="center"/>
    </xf>
    <xf numFmtId="164" fontId="18" fillId="3" borderId="115" xfId="1" applyNumberFormat="1" applyFont="1" applyFill="1" applyBorder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164" fontId="2" fillId="3" borderId="36" xfId="1" applyNumberFormat="1" applyFont="1" applyFill="1" applyBorder="1" applyAlignment="1">
      <alignment horizontal="center" vertical="center" wrapText="1"/>
    </xf>
    <xf numFmtId="164" fontId="2" fillId="3" borderId="86" xfId="1" applyNumberFormat="1" applyFont="1" applyFill="1" applyBorder="1" applyAlignment="1">
      <alignment horizontal="center" vertical="center" wrapText="1"/>
    </xf>
    <xf numFmtId="164" fontId="8" fillId="0" borderId="113" xfId="1" applyNumberFormat="1" applyFont="1" applyBorder="1" applyAlignment="1">
      <alignment horizontal="left" vertical="center"/>
    </xf>
    <xf numFmtId="164" fontId="18" fillId="0" borderId="0" xfId="1" applyNumberFormat="1" applyFont="1" applyFill="1" applyBorder="1" applyAlignment="1">
      <alignment vertical="center"/>
    </xf>
    <xf numFmtId="0" fontId="18" fillId="9" borderId="59" xfId="0" applyFont="1" applyFill="1" applyBorder="1" applyAlignment="1">
      <alignment horizontal="left" vertical="center"/>
    </xf>
    <xf numFmtId="0" fontId="32" fillId="0" borderId="46" xfId="0" applyFont="1" applyBorder="1" applyAlignment="1">
      <alignment horizontal="left" wrapText="1"/>
    </xf>
    <xf numFmtId="165" fontId="38" fillId="0" borderId="46" xfId="2" applyNumberFormat="1" applyFont="1" applyFill="1" applyBorder="1" applyAlignment="1">
      <alignment horizontal="right" vertical="center"/>
    </xf>
    <xf numFmtId="165" fontId="38" fillId="0" borderId="55" xfId="2" applyNumberFormat="1" applyFont="1" applyFill="1" applyBorder="1" applyAlignment="1">
      <alignment horizontal="right" vertical="center"/>
    </xf>
    <xf numFmtId="165" fontId="47" fillId="9" borderId="59" xfId="2" applyNumberFormat="1" applyFont="1" applyFill="1" applyBorder="1" applyAlignment="1">
      <alignment horizontal="right" vertical="center" wrapText="1"/>
    </xf>
    <xf numFmtId="165" fontId="38" fillId="0" borderId="112" xfId="2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165" fontId="18" fillId="0" borderId="0" xfId="0" applyNumberFormat="1" applyFont="1" applyFill="1" applyAlignment="1">
      <alignment horizontal="center" vertical="center"/>
    </xf>
    <xf numFmtId="164" fontId="18" fillId="0" borderId="0" xfId="0" applyNumberFormat="1" applyFont="1" applyFill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0" xfId="0" applyFont="1" applyFill="1"/>
    <xf numFmtId="0" fontId="52" fillId="0" borderId="0" xfId="0" applyFont="1"/>
    <xf numFmtId="165" fontId="18" fillId="11" borderId="84" xfId="0" applyNumberFormat="1" applyFont="1" applyFill="1" applyBorder="1" applyAlignment="1">
      <alignment horizontal="center" vertical="center"/>
    </xf>
    <xf numFmtId="0" fontId="18" fillId="11" borderId="32" xfId="0" applyFont="1" applyFill="1" applyBorder="1" applyAlignment="1">
      <alignment horizontal="left" vertical="center"/>
    </xf>
    <xf numFmtId="0" fontId="50" fillId="11" borderId="19" xfId="0" applyFont="1" applyFill="1" applyBorder="1"/>
    <xf numFmtId="164" fontId="18" fillId="10" borderId="18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/>
    </xf>
    <xf numFmtId="165" fontId="53" fillId="12" borderId="45" xfId="0" applyNumberFormat="1" applyFont="1" applyFill="1" applyBorder="1" applyAlignment="1">
      <alignment horizontal="center" vertical="center"/>
    </xf>
    <xf numFmtId="0" fontId="54" fillId="12" borderId="4" xfId="0" applyFont="1" applyFill="1" applyBorder="1" applyAlignment="1">
      <alignment horizontal="center" vertical="center"/>
    </xf>
    <xf numFmtId="164" fontId="53" fillId="12" borderId="10" xfId="0" applyNumberFormat="1" applyFont="1" applyFill="1" applyBorder="1" applyAlignment="1">
      <alignment horizontal="center" vertical="center"/>
    </xf>
    <xf numFmtId="0" fontId="2" fillId="13" borderId="23" xfId="0" applyFont="1" applyFill="1" applyBorder="1" applyAlignment="1">
      <alignment horizontal="center" vertical="center" wrapText="1"/>
    </xf>
    <xf numFmtId="0" fontId="1" fillId="13" borderId="27" xfId="0" applyFont="1" applyFill="1" applyBorder="1" applyAlignment="1">
      <alignment horizontal="center" vertical="center" wrapText="1"/>
    </xf>
    <xf numFmtId="164" fontId="2" fillId="13" borderId="16" xfId="1" applyNumberFormat="1" applyFont="1" applyFill="1" applyBorder="1" applyAlignment="1">
      <alignment horizontal="center" vertical="center" wrapText="1"/>
    </xf>
    <xf numFmtId="0" fontId="2" fillId="13" borderId="116" xfId="0" applyFont="1" applyFill="1" applyBorder="1" applyAlignment="1">
      <alignment horizontal="center" vertical="center" wrapText="1"/>
    </xf>
    <xf numFmtId="0" fontId="1" fillId="13" borderId="83" xfId="0" applyFont="1" applyFill="1" applyBorder="1" applyAlignment="1">
      <alignment horizontal="center" vertical="center" wrapText="1"/>
    </xf>
    <xf numFmtId="164" fontId="2" fillId="13" borderId="17" xfId="1" applyNumberFormat="1" applyFont="1" applyFill="1" applyBorder="1" applyAlignment="1">
      <alignment horizontal="center" vertical="center" wrapText="1"/>
    </xf>
    <xf numFmtId="0" fontId="1" fillId="13" borderId="20" xfId="0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 wrapText="1"/>
    </xf>
    <xf numFmtId="165" fontId="42" fillId="0" borderId="14" xfId="0" applyNumberFormat="1" applyFont="1" applyFill="1" applyBorder="1" applyAlignment="1">
      <alignment horizontal="center" vertical="center"/>
    </xf>
    <xf numFmtId="0" fontId="50" fillId="0" borderId="31" xfId="0" applyFont="1" applyFill="1" applyBorder="1" applyAlignment="1">
      <alignment horizontal="left" vertical="center"/>
    </xf>
    <xf numFmtId="0" fontId="50" fillId="0" borderId="37" xfId="0" applyFont="1" applyFill="1" applyBorder="1"/>
    <xf numFmtId="164" fontId="42" fillId="0" borderId="36" xfId="0" applyNumberFormat="1" applyFont="1" applyFill="1" applyBorder="1" applyAlignment="1">
      <alignment horizontal="center" vertical="center"/>
    </xf>
    <xf numFmtId="165" fontId="42" fillId="0" borderId="84" xfId="0" applyNumberFormat="1" applyFont="1" applyFill="1" applyBorder="1" applyAlignment="1">
      <alignment horizontal="center" vertical="center"/>
    </xf>
    <xf numFmtId="0" fontId="50" fillId="0" borderId="32" xfId="0" applyFont="1" applyFill="1" applyBorder="1" applyAlignment="1">
      <alignment horizontal="left" vertical="center"/>
    </xf>
    <xf numFmtId="0" fontId="50" fillId="0" borderId="19" xfId="0" applyFont="1" applyFill="1" applyBorder="1"/>
    <xf numFmtId="164" fontId="42" fillId="0" borderId="18" xfId="0" applyNumberFormat="1" applyFont="1" applyFill="1" applyBorder="1" applyAlignment="1">
      <alignment horizontal="center" vertical="center"/>
    </xf>
    <xf numFmtId="165" fontId="42" fillId="0" borderId="25" xfId="0" applyNumberFormat="1" applyFont="1" applyFill="1" applyBorder="1" applyAlignment="1">
      <alignment horizontal="center" vertical="center"/>
    </xf>
    <xf numFmtId="0" fontId="0" fillId="0" borderId="117" xfId="0" applyFill="1" applyBorder="1"/>
    <xf numFmtId="164" fontId="42" fillId="0" borderId="21" xfId="0" applyNumberFormat="1" applyFont="1" applyFill="1" applyBorder="1" applyAlignment="1">
      <alignment horizontal="center" vertical="center"/>
    </xf>
    <xf numFmtId="0" fontId="42" fillId="0" borderId="110" xfId="0" applyFont="1" applyFill="1" applyBorder="1" applyAlignment="1">
      <alignment horizontal="left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center"/>
    </xf>
    <xf numFmtId="164" fontId="10" fillId="0" borderId="36" xfId="1" applyNumberFormat="1" applyFont="1" applyBorder="1"/>
    <xf numFmtId="0" fontId="17" fillId="0" borderId="3" xfId="0" applyFont="1" applyFill="1" applyBorder="1" applyAlignment="1">
      <alignment horizontal="left" vertical="center" indent="1"/>
    </xf>
    <xf numFmtId="164" fontId="10" fillId="0" borderId="18" xfId="1" applyNumberFormat="1" applyFont="1" applyBorder="1"/>
    <xf numFmtId="0" fontId="17" fillId="0" borderId="26" xfId="0" applyFont="1" applyFill="1" applyBorder="1" applyAlignment="1">
      <alignment horizontal="left" vertical="center" indent="1"/>
    </xf>
    <xf numFmtId="164" fontId="10" fillId="0" borderId="86" xfId="1" applyNumberFormat="1" applyFont="1" applyBorder="1"/>
    <xf numFmtId="0" fontId="10" fillId="0" borderId="45" xfId="0" applyFont="1" applyBorder="1" applyAlignment="1">
      <alignment horizontal="center" vertical="center"/>
    </xf>
    <xf numFmtId="0" fontId="10" fillId="0" borderId="4" xfId="0" applyFont="1" applyBorder="1" applyAlignment="1">
      <alignment vertical="top"/>
    </xf>
    <xf numFmtId="0" fontId="18" fillId="9" borderId="4" xfId="0" applyFont="1" applyFill="1" applyBorder="1" applyAlignment="1">
      <alignment horizontal="left" vertical="center"/>
    </xf>
    <xf numFmtId="0" fontId="38" fillId="0" borderId="4" xfId="0" applyFont="1" applyFill="1" applyBorder="1" applyAlignment="1">
      <alignment horizontal="left" vertical="center"/>
    </xf>
    <xf numFmtId="164" fontId="19" fillId="3" borderId="10" xfId="1" applyNumberFormat="1" applyFont="1" applyFill="1" applyBorder="1" applyAlignment="1">
      <alignment vertical="center"/>
    </xf>
    <xf numFmtId="0" fontId="2" fillId="9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left" vertical="center"/>
    </xf>
    <xf numFmtId="164" fontId="10" fillId="0" borderId="18" xfId="1" applyNumberFormat="1" applyFont="1" applyBorder="1" applyAlignment="1">
      <alignment vertical="center"/>
    </xf>
    <xf numFmtId="0" fontId="2" fillId="9" borderId="106" xfId="0" applyFont="1" applyFill="1" applyBorder="1" applyAlignment="1">
      <alignment horizontal="center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1" fillId="0" borderId="106" xfId="0" applyFont="1" applyFill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1" fillId="0" borderId="73" xfId="0" applyFont="1" applyBorder="1"/>
    <xf numFmtId="164" fontId="19" fillId="9" borderId="73" xfId="1" applyNumberFormat="1" applyFont="1" applyFill="1" applyBorder="1" applyAlignment="1">
      <alignment horizontal="right" vertical="center"/>
    </xf>
    <xf numFmtId="166" fontId="18" fillId="9" borderId="73" xfId="0" applyNumberFormat="1" applyFont="1" applyFill="1" applyBorder="1" applyAlignment="1">
      <alignment horizontal="left" vertical="center"/>
    </xf>
    <xf numFmtId="0" fontId="38" fillId="0" borderId="73" xfId="0" applyFont="1" applyFill="1" applyBorder="1" applyAlignment="1">
      <alignment horizontal="left" vertical="center"/>
    </xf>
    <xf numFmtId="164" fontId="18" fillId="3" borderId="17" xfId="1" applyNumberFormat="1" applyFont="1" applyFill="1" applyBorder="1" applyAlignment="1">
      <alignment vertical="center"/>
    </xf>
    <xf numFmtId="0" fontId="13" fillId="0" borderId="15" xfId="0" applyFont="1" applyFill="1" applyBorder="1" applyAlignment="1">
      <alignment horizontal="left" vertical="center"/>
    </xf>
    <xf numFmtId="164" fontId="10" fillId="0" borderId="36" xfId="1" applyNumberFormat="1" applyFont="1" applyBorder="1" applyAlignment="1">
      <alignment vertical="center"/>
    </xf>
    <xf numFmtId="0" fontId="8" fillId="0" borderId="26" xfId="0" applyFont="1" applyBorder="1" applyAlignment="1">
      <alignment horizontal="left" vertical="center"/>
    </xf>
    <xf numFmtId="164" fontId="15" fillId="0" borderId="26" xfId="1" applyNumberFormat="1" applyFont="1" applyFill="1" applyBorder="1" applyAlignment="1">
      <alignment horizontal="right" vertical="center"/>
    </xf>
    <xf numFmtId="0" fontId="13" fillId="0" borderId="26" xfId="0" applyFont="1" applyFill="1" applyBorder="1" applyAlignment="1">
      <alignment horizontal="left" vertical="center"/>
    </xf>
    <xf numFmtId="164" fontId="10" fillId="0" borderId="86" xfId="1" applyNumberFormat="1" applyFont="1" applyBorder="1" applyAlignment="1">
      <alignment vertical="center"/>
    </xf>
    <xf numFmtId="0" fontId="56" fillId="0" borderId="12" xfId="0" applyFont="1" applyBorder="1" applyAlignment="1">
      <alignment horizontal="center" vertical="center" wrapText="1"/>
    </xf>
    <xf numFmtId="0" fontId="56" fillId="0" borderId="82" xfId="0" applyFont="1" applyBorder="1" applyAlignment="1">
      <alignment horizontal="center" vertical="center" wrapText="1"/>
    </xf>
    <xf numFmtId="0" fontId="56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6" fillId="0" borderId="25" xfId="0" applyFont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1" fontId="25" fillId="0" borderId="84" xfId="0" applyNumberFormat="1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164" fontId="10" fillId="0" borderId="18" xfId="1" applyNumberFormat="1" applyFont="1" applyBorder="1" applyAlignment="1">
      <alignment horizontal="right" vertical="center"/>
    </xf>
    <xf numFmtId="164" fontId="38" fillId="0" borderId="3" xfId="1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wrapText="1"/>
    </xf>
    <xf numFmtId="0" fontId="2" fillId="0" borderId="106" xfId="0" applyFont="1" applyBorder="1" applyAlignment="1">
      <alignment horizontal="left" vertical="center" wrapText="1"/>
    </xf>
    <xf numFmtId="164" fontId="2" fillId="3" borderId="21" xfId="1" applyNumberFormat="1" applyFont="1" applyFill="1" applyBorder="1" applyAlignment="1">
      <alignment horizontal="center" vertical="center" wrapText="1"/>
    </xf>
    <xf numFmtId="0" fontId="24" fillId="0" borderId="82" xfId="0" applyFont="1" applyBorder="1" applyAlignment="1">
      <alignment horizontal="left" vertical="top" wrapText="1"/>
    </xf>
    <xf numFmtId="0" fontId="24" fillId="0" borderId="73" xfId="0" applyFont="1" applyBorder="1" applyAlignment="1">
      <alignment horizontal="left" vertical="top" wrapText="1"/>
    </xf>
    <xf numFmtId="164" fontId="47" fillId="9" borderId="73" xfId="1" applyNumberFormat="1" applyFont="1" applyFill="1" applyBorder="1" applyAlignment="1">
      <alignment horizontal="right" vertical="center" wrapText="1"/>
    </xf>
    <xf numFmtId="0" fontId="18" fillId="9" borderId="73" xfId="0" applyFont="1" applyFill="1" applyBorder="1" applyAlignment="1">
      <alignment horizontal="left" vertical="center"/>
    </xf>
    <xf numFmtId="0" fontId="5" fillId="0" borderId="73" xfId="0" applyFont="1" applyFill="1" applyBorder="1" applyAlignment="1">
      <alignment vertical="center"/>
    </xf>
    <xf numFmtId="1" fontId="25" fillId="0" borderId="14" xfId="0" applyNumberFormat="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left" vertical="center" wrapText="1"/>
    </xf>
    <xf numFmtId="164" fontId="38" fillId="0" borderId="15" xfId="1" applyNumberFormat="1" applyFont="1" applyFill="1" applyBorder="1" applyAlignment="1">
      <alignment horizontal="righ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164" fontId="10" fillId="0" borderId="36" xfId="1" applyNumberFormat="1" applyFont="1" applyBorder="1" applyAlignment="1">
      <alignment horizontal="right" vertical="center"/>
    </xf>
    <xf numFmtId="1" fontId="25" fillId="0" borderId="85" xfId="0" applyNumberFormat="1" applyFont="1" applyBorder="1" applyAlignment="1">
      <alignment horizontal="center" vertical="center" shrinkToFit="1"/>
    </xf>
    <xf numFmtId="0" fontId="22" fillId="0" borderId="26" xfId="0" applyFont="1" applyBorder="1" applyAlignment="1">
      <alignment horizontal="left" vertical="center" wrapText="1"/>
    </xf>
    <xf numFmtId="164" fontId="38" fillId="0" borderId="26" xfId="1" applyNumberFormat="1" applyFont="1" applyFill="1" applyBorder="1" applyAlignment="1">
      <alignment horizontal="right" vertical="center"/>
    </xf>
    <xf numFmtId="0" fontId="13" fillId="0" borderId="26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center" vertical="center" wrapText="1"/>
    </xf>
    <xf numFmtId="164" fontId="10" fillId="0" borderId="86" xfId="1" applyNumberFormat="1" applyFont="1" applyBorder="1" applyAlignment="1">
      <alignment horizontal="right" vertical="center"/>
    </xf>
    <xf numFmtId="164" fontId="46" fillId="9" borderId="73" xfId="1" applyNumberFormat="1" applyFont="1" applyFill="1" applyBorder="1" applyAlignment="1">
      <alignment horizontal="right" vertical="center" wrapText="1"/>
    </xf>
    <xf numFmtId="0" fontId="19" fillId="9" borderId="73" xfId="0" applyFont="1" applyFill="1" applyBorder="1" applyAlignment="1">
      <alignment horizontal="left" vertical="center"/>
    </xf>
    <xf numFmtId="164" fontId="37" fillId="0" borderId="15" xfId="1" applyNumberFormat="1" applyFont="1" applyFill="1" applyBorder="1" applyAlignment="1">
      <alignment horizontal="righ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/>
    </xf>
    <xf numFmtId="0" fontId="21" fillId="0" borderId="108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0" fontId="32" fillId="0" borderId="55" xfId="0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center" vertical="center" wrapText="1"/>
    </xf>
    <xf numFmtId="0" fontId="57" fillId="0" borderId="3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0" fontId="51" fillId="0" borderId="15" xfId="0" applyFont="1" applyFill="1" applyBorder="1" applyAlignment="1">
      <alignment horizontal="center"/>
    </xf>
    <xf numFmtId="0" fontId="51" fillId="0" borderId="3" xfId="0" applyFont="1" applyFill="1" applyBorder="1" applyAlignment="1">
      <alignment horizontal="center"/>
    </xf>
    <xf numFmtId="0" fontId="51" fillId="0" borderId="26" xfId="0" applyFont="1" applyFill="1" applyBorder="1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11" fillId="0" borderId="84" xfId="0" applyFont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 wrapText="1"/>
    </xf>
    <xf numFmtId="0" fontId="58" fillId="0" borderId="0" xfId="0" applyFont="1"/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4</xdr:col>
      <xdr:colOff>2739390</xdr:colOff>
      <xdr:row>3</xdr:row>
      <xdr:rowOff>72390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F82A567-0BCF-7400-9116-2FF55DF49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00025"/>
          <a:ext cx="5884545" cy="880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4B6C-80ED-4D3D-A237-EB295E953377}">
  <sheetPr>
    <pageSetUpPr fitToPage="1"/>
  </sheetPr>
  <dimension ref="B1:S172"/>
  <sheetViews>
    <sheetView showGridLines="0" topLeftCell="A2" zoomScale="80" zoomScaleNormal="80" zoomScaleSheetLayoutView="50" workbookViewId="0">
      <selection activeCell="K174" sqref="K174"/>
    </sheetView>
  </sheetViews>
  <sheetFormatPr defaultRowHeight="15" x14ac:dyDescent="0.25"/>
  <cols>
    <col min="2" max="2" width="4.85546875" style="1" customWidth="1"/>
    <col min="3" max="3" width="23" customWidth="1"/>
    <col min="4" max="4" width="11.7109375" style="1" customWidth="1"/>
    <col min="5" max="5" width="17.5703125" style="1" customWidth="1"/>
    <col min="6" max="6" width="16.85546875" style="1" customWidth="1"/>
    <col min="7" max="10" width="17.140625" style="1" customWidth="1"/>
    <col min="11" max="11" width="54.28515625" style="1" customWidth="1"/>
    <col min="12" max="12" width="16.140625" style="1" customWidth="1"/>
    <col min="13" max="13" width="17.140625" style="1" customWidth="1"/>
    <col min="14" max="16" width="17.28515625" style="1" customWidth="1"/>
    <col min="17" max="17" width="37.28515625" customWidth="1"/>
    <col min="18" max="18" width="13.140625" customWidth="1"/>
    <col min="19" max="19" width="21.140625" customWidth="1"/>
  </cols>
  <sheetData>
    <row r="1" spans="2:19" ht="14.45" hidden="1" customHeight="1" thickBot="1" x14ac:dyDescent="0.3">
      <c r="B1" s="4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19" ht="28.15" customHeight="1" thickBot="1" x14ac:dyDescent="0.3">
      <c r="B2" s="34" t="s">
        <v>92</v>
      </c>
      <c r="C2" s="31"/>
      <c r="D2" s="31"/>
      <c r="E2" s="31"/>
      <c r="F2" s="31"/>
      <c r="G2" s="255">
        <f>G9-H9</f>
        <v>385990</v>
      </c>
      <c r="H2" s="31"/>
      <c r="I2" s="31"/>
      <c r="J2" s="31"/>
      <c r="K2" s="31"/>
      <c r="L2"/>
      <c r="M2"/>
      <c r="N2"/>
      <c r="O2"/>
      <c r="P2"/>
      <c r="Q2" s="5"/>
      <c r="R2" s="5"/>
    </row>
    <row r="3" spans="2:19" ht="15" customHeight="1" x14ac:dyDescent="0.25">
      <c r="B3" s="289" t="s">
        <v>9</v>
      </c>
      <c r="C3" s="291" t="s">
        <v>57</v>
      </c>
      <c r="D3" s="293" t="s">
        <v>8</v>
      </c>
      <c r="E3" s="295" t="s">
        <v>62</v>
      </c>
      <c r="F3" s="295" t="s">
        <v>61</v>
      </c>
      <c r="G3" s="297" t="s">
        <v>60</v>
      </c>
      <c r="H3" s="297" t="s">
        <v>99</v>
      </c>
      <c r="I3" s="297" t="s">
        <v>101</v>
      </c>
      <c r="J3" s="297" t="s">
        <v>100</v>
      </c>
      <c r="K3" s="303" t="s">
        <v>10</v>
      </c>
      <c r="L3" s="305" t="s">
        <v>93</v>
      </c>
      <c r="M3" s="307" t="s">
        <v>94</v>
      </c>
      <c r="N3" s="305" t="s">
        <v>63</v>
      </c>
      <c r="O3" s="309" t="s">
        <v>68</v>
      </c>
      <c r="P3" s="311" t="s">
        <v>67</v>
      </c>
      <c r="Q3" s="313" t="s">
        <v>33</v>
      </c>
    </row>
    <row r="4" spans="2:19" ht="41.45" customHeight="1" thickBot="1" x14ac:dyDescent="0.3">
      <c r="B4" s="290"/>
      <c r="C4" s="292"/>
      <c r="D4" s="294"/>
      <c r="E4" s="296"/>
      <c r="F4" s="302"/>
      <c r="G4" s="298"/>
      <c r="H4" s="298"/>
      <c r="I4" s="298"/>
      <c r="J4" s="298"/>
      <c r="K4" s="304"/>
      <c r="L4" s="306"/>
      <c r="M4" s="308"/>
      <c r="N4" s="306"/>
      <c r="O4" s="310"/>
      <c r="P4" s="312"/>
      <c r="Q4" s="314"/>
    </row>
    <row r="5" spans="2:19" s="7" customFormat="1" ht="25.15" customHeight="1" thickBot="1" x14ac:dyDescent="0.35">
      <c r="B5" s="6">
        <v>1</v>
      </c>
      <c r="C5" s="315" t="s">
        <v>11</v>
      </c>
      <c r="D5" s="21"/>
      <c r="E5" s="35">
        <v>435600</v>
      </c>
      <c r="F5" s="208"/>
      <c r="G5" s="17">
        <v>145200</v>
      </c>
      <c r="H5" s="17">
        <v>0</v>
      </c>
      <c r="I5" s="17">
        <f>G5*5%</f>
        <v>7260</v>
      </c>
      <c r="J5" s="17">
        <f>I5/18</f>
        <v>403.33333333333331</v>
      </c>
      <c r="K5" s="131" t="s">
        <v>23</v>
      </c>
      <c r="L5" s="234">
        <f>G5*5%</f>
        <v>7260</v>
      </c>
      <c r="M5" s="237">
        <f>L5/18</f>
        <v>403.33333333333331</v>
      </c>
      <c r="N5" s="138"/>
      <c r="O5" s="125">
        <v>120000</v>
      </c>
      <c r="P5" s="138"/>
      <c r="Q5" s="225" t="s">
        <v>69</v>
      </c>
      <c r="R5" s="7" t="s">
        <v>81</v>
      </c>
    </row>
    <row r="6" spans="2:19" s="7" customFormat="1" ht="25.15" customHeight="1" thickBot="1" x14ac:dyDescent="0.35">
      <c r="B6" s="8">
        <v>2</v>
      </c>
      <c r="C6" s="316"/>
      <c r="D6" s="20"/>
      <c r="E6" s="80">
        <v>363000</v>
      </c>
      <c r="F6" s="81"/>
      <c r="G6" s="125">
        <v>349690</v>
      </c>
      <c r="H6" s="125">
        <f>G6-240790</f>
        <v>108900</v>
      </c>
      <c r="I6" s="17">
        <f t="shared" ref="I6:I8" si="0">G6*5%</f>
        <v>17484.5</v>
      </c>
      <c r="J6" s="17">
        <f t="shared" ref="J6:J8" si="1">I6/18</f>
        <v>971.36111111111109</v>
      </c>
      <c r="K6" s="83" t="s">
        <v>13</v>
      </c>
      <c r="L6" s="235">
        <f>G6*5%</f>
        <v>17484.5</v>
      </c>
      <c r="M6" s="238">
        <f t="shared" ref="M6:M8" si="2">L6/18</f>
        <v>971.36111111111109</v>
      </c>
      <c r="N6" s="140"/>
      <c r="O6" s="126">
        <v>289000</v>
      </c>
      <c r="P6" s="141"/>
      <c r="Q6" s="226" t="s">
        <v>76</v>
      </c>
      <c r="R6" s="221">
        <v>44312</v>
      </c>
    </row>
    <row r="7" spans="2:19" s="7" customFormat="1" ht="25.15" customHeight="1" thickBot="1" x14ac:dyDescent="0.35">
      <c r="B7" s="8">
        <v>3</v>
      </c>
      <c r="C7" s="316"/>
      <c r="D7" s="20"/>
      <c r="E7" s="80">
        <v>363000</v>
      </c>
      <c r="F7" s="81"/>
      <c r="G7" s="126">
        <v>943800</v>
      </c>
      <c r="H7" s="126">
        <v>943800</v>
      </c>
      <c r="I7" s="17">
        <f t="shared" si="0"/>
        <v>47190</v>
      </c>
      <c r="J7" s="17">
        <f t="shared" si="1"/>
        <v>2621.6666666666665</v>
      </c>
      <c r="K7" s="83" t="s">
        <v>22</v>
      </c>
      <c r="L7" s="235">
        <f>G7*5%</f>
        <v>47190</v>
      </c>
      <c r="M7" s="238">
        <f t="shared" si="2"/>
        <v>2621.6666666666665</v>
      </c>
      <c r="N7" s="140"/>
      <c r="O7" s="126">
        <v>780000</v>
      </c>
      <c r="P7" s="140"/>
      <c r="Q7" s="226" t="s">
        <v>75</v>
      </c>
    </row>
    <row r="8" spans="2:19" s="7" customFormat="1" ht="25.15" customHeight="1" thickBot="1" x14ac:dyDescent="0.35">
      <c r="B8" s="14">
        <v>4</v>
      </c>
      <c r="C8" s="317"/>
      <c r="D8" s="22"/>
      <c r="E8" s="81">
        <v>242000</v>
      </c>
      <c r="F8" s="81"/>
      <c r="G8" s="127">
        <v>205700</v>
      </c>
      <c r="H8" s="127">
        <v>205700</v>
      </c>
      <c r="I8" s="17">
        <f t="shared" si="0"/>
        <v>10285</v>
      </c>
      <c r="J8" s="17">
        <f t="shared" si="1"/>
        <v>571.38888888888891</v>
      </c>
      <c r="K8" s="84" t="s">
        <v>14</v>
      </c>
      <c r="L8" s="236">
        <f>G8*5%</f>
        <v>10285</v>
      </c>
      <c r="M8" s="239">
        <f t="shared" si="2"/>
        <v>571.38888888888891</v>
      </c>
      <c r="N8" s="161"/>
      <c r="O8" s="127">
        <v>170000</v>
      </c>
      <c r="P8" s="162"/>
      <c r="Q8" s="227" t="s">
        <v>74</v>
      </c>
    </row>
    <row r="9" spans="2:19" s="7" customFormat="1" ht="25.15" customHeight="1" thickBot="1" x14ac:dyDescent="0.3">
      <c r="B9" s="115"/>
      <c r="C9" s="116"/>
      <c r="D9" s="117"/>
      <c r="E9" s="40">
        <f>SUM(E5:E8)</f>
        <v>1403600</v>
      </c>
      <c r="F9" s="40">
        <v>2093715</v>
      </c>
      <c r="G9" s="112">
        <f t="shared" ref="G9:H9" si="3">SUM(G5:G8)</f>
        <v>1644390</v>
      </c>
      <c r="H9" s="112">
        <f t="shared" si="3"/>
        <v>1258400</v>
      </c>
      <c r="I9" s="112">
        <f t="shared" ref="I9:J9" si="4">SUM(I5:I8)</f>
        <v>82219.5</v>
      </c>
      <c r="J9" s="112">
        <f t="shared" si="4"/>
        <v>4567.75</v>
      </c>
      <c r="K9" s="15" t="s">
        <v>28</v>
      </c>
      <c r="L9" s="142">
        <f>G9*5%</f>
        <v>82219.5</v>
      </c>
      <c r="M9" s="143">
        <f>SUM(M5:M8)</f>
        <v>4567.75</v>
      </c>
      <c r="N9" s="132">
        <f>F9/1.21</f>
        <v>1730342.9752066117</v>
      </c>
      <c r="O9" s="107">
        <f>SUM(O5:O8)</f>
        <v>1359000</v>
      </c>
      <c r="P9" s="135">
        <f>F9-G9</f>
        <v>449325</v>
      </c>
      <c r="Q9" s="136" t="s">
        <v>65</v>
      </c>
      <c r="R9" s="114"/>
      <c r="S9" s="114"/>
    </row>
    <row r="10" spans="2:19" s="7" customFormat="1" ht="7.15" customHeight="1" thickBot="1" x14ac:dyDescent="0.3">
      <c r="B10" s="10"/>
      <c r="C10" s="25"/>
      <c r="D10" s="12"/>
      <c r="E10" s="28"/>
      <c r="F10" s="28"/>
      <c r="G10" s="26"/>
      <c r="H10" s="26"/>
      <c r="I10" s="26"/>
      <c r="J10" s="26"/>
      <c r="K10" s="16"/>
      <c r="L10" s="113"/>
      <c r="M10" s="113"/>
      <c r="N10" s="113"/>
      <c r="O10" s="113"/>
      <c r="P10" s="113"/>
    </row>
    <row r="11" spans="2:19" s="7" customFormat="1" ht="25.15" customHeight="1" x14ac:dyDescent="0.25">
      <c r="B11" s="6">
        <v>1</v>
      </c>
      <c r="C11" s="144" t="s">
        <v>5</v>
      </c>
      <c r="D11" s="21">
        <v>314</v>
      </c>
      <c r="E11" s="33">
        <v>169400</v>
      </c>
      <c r="F11" s="209"/>
      <c r="G11" s="133">
        <v>54450</v>
      </c>
      <c r="H11" s="133"/>
      <c r="I11" s="133"/>
      <c r="J11" s="133">
        <f>G11*5%</f>
        <v>2722.5</v>
      </c>
      <c r="K11" s="85" t="s">
        <v>15</v>
      </c>
      <c r="L11" s="150"/>
      <c r="M11" s="240">
        <f>G11*5%</f>
        <v>2722.5</v>
      </c>
      <c r="N11" s="151"/>
      <c r="O11" s="152"/>
      <c r="P11" s="153"/>
      <c r="Q11" s="299" t="s">
        <v>70</v>
      </c>
    </row>
    <row r="12" spans="2:19" s="7" customFormat="1" ht="25.15" customHeight="1" x14ac:dyDescent="0.25">
      <c r="B12" s="8">
        <v>2</v>
      </c>
      <c r="C12" s="145" t="s">
        <v>3</v>
      </c>
      <c r="D12" s="23">
        <v>366</v>
      </c>
      <c r="E12" s="29">
        <v>169400</v>
      </c>
      <c r="F12" s="37"/>
      <c r="G12" s="134">
        <v>54450</v>
      </c>
      <c r="H12" s="134"/>
      <c r="I12" s="134"/>
      <c r="J12" s="134">
        <f t="shared" ref="J12:J20" si="5">G12*5%</f>
        <v>2722.5</v>
      </c>
      <c r="K12" s="9" t="s">
        <v>16</v>
      </c>
      <c r="L12" s="154"/>
      <c r="M12" s="241">
        <f t="shared" ref="M12:M20" si="6">G12*5%</f>
        <v>2722.5</v>
      </c>
      <c r="N12" s="155"/>
      <c r="O12" s="155"/>
      <c r="P12" s="156"/>
      <c r="Q12" s="300"/>
    </row>
    <row r="13" spans="2:19" s="7" customFormat="1" ht="25.15" customHeight="1" x14ac:dyDescent="0.25">
      <c r="B13" s="8">
        <v>3</v>
      </c>
      <c r="C13" s="145" t="s">
        <v>4</v>
      </c>
      <c r="D13" s="23">
        <v>372</v>
      </c>
      <c r="E13" s="29">
        <v>169400</v>
      </c>
      <c r="F13" s="37"/>
      <c r="G13" s="134">
        <v>54450</v>
      </c>
      <c r="H13" s="134"/>
      <c r="I13" s="134"/>
      <c r="J13" s="134">
        <f t="shared" si="5"/>
        <v>2722.5</v>
      </c>
      <c r="K13" s="9" t="s">
        <v>17</v>
      </c>
      <c r="L13" s="154"/>
      <c r="M13" s="241">
        <f t="shared" si="6"/>
        <v>2722.5</v>
      </c>
      <c r="N13" s="155"/>
      <c r="O13" s="155"/>
      <c r="P13" s="156"/>
      <c r="Q13" s="300"/>
    </row>
    <row r="14" spans="2:19" s="7" customFormat="1" ht="25.15" customHeight="1" x14ac:dyDescent="0.25">
      <c r="B14" s="8">
        <v>4</v>
      </c>
      <c r="C14" s="145" t="s">
        <v>0</v>
      </c>
      <c r="D14" s="23">
        <v>399</v>
      </c>
      <c r="E14" s="29">
        <v>169400</v>
      </c>
      <c r="F14" s="37"/>
      <c r="G14" s="134">
        <v>54450</v>
      </c>
      <c r="H14" s="134"/>
      <c r="I14" s="134"/>
      <c r="J14" s="134">
        <f t="shared" si="5"/>
        <v>2722.5</v>
      </c>
      <c r="K14" s="9" t="s">
        <v>18</v>
      </c>
      <c r="L14" s="154"/>
      <c r="M14" s="241">
        <f t="shared" si="6"/>
        <v>2722.5</v>
      </c>
      <c r="N14" s="155"/>
      <c r="O14" s="155"/>
      <c r="P14" s="155"/>
      <c r="Q14" s="300"/>
    </row>
    <row r="15" spans="2:19" s="7" customFormat="1" ht="25.15" customHeight="1" x14ac:dyDescent="0.25">
      <c r="B15" s="8">
        <v>5</v>
      </c>
      <c r="C15" s="145" t="s">
        <v>30</v>
      </c>
      <c r="D15" s="23">
        <v>577</v>
      </c>
      <c r="E15" s="29">
        <v>169400</v>
      </c>
      <c r="F15" s="37"/>
      <c r="G15" s="134">
        <v>54450</v>
      </c>
      <c r="H15" s="134"/>
      <c r="I15" s="134"/>
      <c r="J15" s="134">
        <f t="shared" si="5"/>
        <v>2722.5</v>
      </c>
      <c r="K15" s="9" t="s">
        <v>27</v>
      </c>
      <c r="L15" s="154"/>
      <c r="M15" s="241">
        <f t="shared" si="6"/>
        <v>2722.5</v>
      </c>
      <c r="N15" s="155"/>
      <c r="O15" s="155"/>
      <c r="P15" s="155"/>
      <c r="Q15" s="300"/>
    </row>
    <row r="16" spans="2:19" s="7" customFormat="1" ht="25.15" customHeight="1" x14ac:dyDescent="0.25">
      <c r="B16" s="8">
        <v>6</v>
      </c>
      <c r="C16" s="145" t="s">
        <v>25</v>
      </c>
      <c r="D16" s="23">
        <v>682</v>
      </c>
      <c r="E16" s="29">
        <v>217800</v>
      </c>
      <c r="F16" s="37"/>
      <c r="G16" s="134">
        <v>54450</v>
      </c>
      <c r="H16" s="134"/>
      <c r="I16" s="134"/>
      <c r="J16" s="134">
        <f t="shared" si="5"/>
        <v>2722.5</v>
      </c>
      <c r="K16" s="9" t="s">
        <v>24</v>
      </c>
      <c r="L16" s="154"/>
      <c r="M16" s="241">
        <f t="shared" si="6"/>
        <v>2722.5</v>
      </c>
      <c r="N16" s="155"/>
      <c r="O16" s="157"/>
      <c r="P16" s="155"/>
      <c r="Q16" s="300"/>
    </row>
    <row r="17" spans="2:19" s="7" customFormat="1" ht="25.15" customHeight="1" x14ac:dyDescent="0.25">
      <c r="B17" s="8">
        <v>7</v>
      </c>
      <c r="C17" s="145" t="s">
        <v>7</v>
      </c>
      <c r="D17" s="23">
        <v>739</v>
      </c>
      <c r="E17" s="29">
        <v>217800</v>
      </c>
      <c r="F17" s="37"/>
      <c r="G17" s="27">
        <v>64130</v>
      </c>
      <c r="H17" s="27"/>
      <c r="I17" s="27"/>
      <c r="J17" s="134">
        <f t="shared" si="5"/>
        <v>3206.5</v>
      </c>
      <c r="K17" s="9" t="s">
        <v>19</v>
      </c>
      <c r="L17" s="154"/>
      <c r="M17" s="241">
        <f t="shared" si="6"/>
        <v>3206.5</v>
      </c>
      <c r="N17" s="155"/>
      <c r="O17" s="155"/>
      <c r="P17" s="155"/>
      <c r="Q17" s="300"/>
    </row>
    <row r="18" spans="2:19" s="7" customFormat="1" ht="25.15" customHeight="1" x14ac:dyDescent="0.25">
      <c r="B18" s="8">
        <v>8</v>
      </c>
      <c r="C18" s="145" t="s">
        <v>1</v>
      </c>
      <c r="D18" s="23">
        <v>985</v>
      </c>
      <c r="E18" s="29">
        <v>217800</v>
      </c>
      <c r="F18" s="37"/>
      <c r="G18" s="134">
        <v>64130</v>
      </c>
      <c r="H18" s="134"/>
      <c r="I18" s="258"/>
      <c r="J18" s="134">
        <f t="shared" si="5"/>
        <v>3206.5</v>
      </c>
      <c r="K18" s="9" t="s">
        <v>20</v>
      </c>
      <c r="L18" s="154"/>
      <c r="M18" s="241">
        <f t="shared" si="6"/>
        <v>3206.5</v>
      </c>
      <c r="N18" s="155"/>
      <c r="O18" s="155"/>
      <c r="P18" s="155"/>
      <c r="Q18" s="300"/>
    </row>
    <row r="19" spans="2:19" s="7" customFormat="1" ht="25.15" customHeight="1" x14ac:dyDescent="0.25">
      <c r="B19" s="8">
        <v>9</v>
      </c>
      <c r="C19" s="145" t="s">
        <v>6</v>
      </c>
      <c r="D19" s="23">
        <v>1050</v>
      </c>
      <c r="E19" s="29">
        <v>217800</v>
      </c>
      <c r="F19" s="37"/>
      <c r="G19" s="134">
        <v>64130</v>
      </c>
      <c r="H19" s="134"/>
      <c r="I19" s="259"/>
      <c r="J19" s="134">
        <f t="shared" si="5"/>
        <v>3206.5</v>
      </c>
      <c r="K19" s="9" t="s">
        <v>21</v>
      </c>
      <c r="L19" s="154"/>
      <c r="M19" s="241">
        <f t="shared" si="6"/>
        <v>3206.5</v>
      </c>
      <c r="N19" s="155"/>
      <c r="O19" s="155"/>
      <c r="P19" s="155"/>
      <c r="Q19" s="300"/>
    </row>
    <row r="20" spans="2:19" s="7" customFormat="1" ht="25.15" customHeight="1" thickBot="1" x14ac:dyDescent="0.3">
      <c r="B20" s="36">
        <v>10</v>
      </c>
      <c r="C20" s="146" t="s">
        <v>29</v>
      </c>
      <c r="D20" s="22">
        <v>4379</v>
      </c>
      <c r="E20" s="37">
        <v>0</v>
      </c>
      <c r="F20" s="210"/>
      <c r="G20" s="134">
        <v>76230</v>
      </c>
      <c r="H20" s="134"/>
      <c r="I20" s="134"/>
      <c r="J20" s="134">
        <f t="shared" si="5"/>
        <v>3811.5</v>
      </c>
      <c r="K20" s="86" t="s">
        <v>26</v>
      </c>
      <c r="L20" s="158"/>
      <c r="M20" s="242">
        <f t="shared" si="6"/>
        <v>3811.5</v>
      </c>
      <c r="N20" s="159"/>
      <c r="O20" s="159"/>
      <c r="P20" s="159"/>
      <c r="Q20" s="301"/>
    </row>
    <row r="21" spans="2:19" s="7" customFormat="1" ht="25.15" customHeight="1" thickBot="1" x14ac:dyDescent="0.3">
      <c r="B21" s="115"/>
      <c r="C21" s="118"/>
      <c r="D21" s="119"/>
      <c r="E21" s="40">
        <f>SUM(E11:E20)</f>
        <v>1718200</v>
      </c>
      <c r="F21" s="40">
        <v>1284000</v>
      </c>
      <c r="G21" s="41">
        <f>SUM(G11:G20)</f>
        <v>595320</v>
      </c>
      <c r="H21" s="41">
        <f>SUM(H11:H20)</f>
        <v>0</v>
      </c>
      <c r="I21" s="41">
        <f>G21*5%</f>
        <v>29766</v>
      </c>
      <c r="J21" s="41">
        <f>SUM(J11:J20)</f>
        <v>29766</v>
      </c>
      <c r="K21" s="87" t="s">
        <v>31</v>
      </c>
      <c r="L21" s="171">
        <f>G21*5%</f>
        <v>29766</v>
      </c>
      <c r="M21" s="82">
        <f>SUM(M11:M20)</f>
        <v>29766</v>
      </c>
      <c r="N21" s="171">
        <f>F21/1.21</f>
        <v>1061157.0247933886</v>
      </c>
      <c r="O21" s="172">
        <f>G21/1.21</f>
        <v>492000</v>
      </c>
      <c r="P21" s="163">
        <f>F21-G21</f>
        <v>688680</v>
      </c>
      <c r="Q21" s="136" t="s">
        <v>65</v>
      </c>
      <c r="R21" s="164">
        <f>P9+P21</f>
        <v>1138005</v>
      </c>
      <c r="S21" s="165" t="s">
        <v>71</v>
      </c>
    </row>
    <row r="22" spans="2:19" s="7" customFormat="1" ht="24" customHeight="1" x14ac:dyDescent="0.25">
      <c r="B22" s="10"/>
      <c r="C22" s="11"/>
      <c r="D22" s="12"/>
      <c r="E22" s="38"/>
      <c r="F22" s="38"/>
      <c r="G22" s="19">
        <f>G17</f>
        <v>64130</v>
      </c>
      <c r="H22" s="19">
        <f>H17</f>
        <v>0</v>
      </c>
      <c r="I22" s="19">
        <f>I17</f>
        <v>0</v>
      </c>
      <c r="J22" s="19">
        <f>J17</f>
        <v>3206.5</v>
      </c>
      <c r="K22" s="13" t="s">
        <v>91</v>
      </c>
      <c r="L22" s="39"/>
      <c r="M22" s="39"/>
      <c r="N22" s="39"/>
      <c r="O22" s="39"/>
      <c r="P22" s="39"/>
    </row>
    <row r="23" spans="2:19" s="44" customFormat="1" ht="31.15" customHeight="1" thickBot="1" x14ac:dyDescent="0.3">
      <c r="B23" s="318" t="s">
        <v>37</v>
      </c>
      <c r="C23" s="318"/>
      <c r="D23" s="318"/>
      <c r="E23" s="318"/>
      <c r="F23" s="61"/>
      <c r="G23" s="61"/>
      <c r="H23" s="61"/>
      <c r="I23" s="61"/>
      <c r="J23" s="61"/>
      <c r="K23" s="120"/>
    </row>
    <row r="24" spans="2:19" ht="15" customHeight="1" x14ac:dyDescent="0.25">
      <c r="B24" s="289" t="s">
        <v>9</v>
      </c>
      <c r="C24" s="291" t="s">
        <v>57</v>
      </c>
      <c r="D24" s="293" t="s">
        <v>8</v>
      </c>
      <c r="E24" s="295" t="s">
        <v>62</v>
      </c>
      <c r="F24" s="295" t="s">
        <v>61</v>
      </c>
      <c r="G24" s="297" t="s">
        <v>60</v>
      </c>
      <c r="H24" s="297" t="s">
        <v>99</v>
      </c>
      <c r="I24" s="297" t="s">
        <v>101</v>
      </c>
      <c r="J24" s="297" t="s">
        <v>100</v>
      </c>
      <c r="K24" s="325" t="s">
        <v>10</v>
      </c>
      <c r="L24" s="327" t="s">
        <v>64</v>
      </c>
      <c r="M24" s="307" t="s">
        <v>66</v>
      </c>
      <c r="N24" s="329" t="s">
        <v>63</v>
      </c>
      <c r="O24" s="309" t="s">
        <v>68</v>
      </c>
      <c r="P24" s="331" t="s">
        <v>67</v>
      </c>
      <c r="Q24" s="333" t="s">
        <v>33</v>
      </c>
    </row>
    <row r="25" spans="2:19" ht="41.45" customHeight="1" thickBot="1" x14ac:dyDescent="0.3">
      <c r="B25" s="319"/>
      <c r="C25" s="320"/>
      <c r="D25" s="321"/>
      <c r="E25" s="322"/>
      <c r="F25" s="302"/>
      <c r="G25" s="298"/>
      <c r="H25" s="298"/>
      <c r="I25" s="298"/>
      <c r="J25" s="298"/>
      <c r="K25" s="326"/>
      <c r="L25" s="328"/>
      <c r="M25" s="308"/>
      <c r="N25" s="330"/>
      <c r="O25" s="310"/>
      <c r="P25" s="332"/>
      <c r="Q25" s="334"/>
    </row>
    <row r="26" spans="2:19" s="43" customFormat="1" ht="38.450000000000003" customHeight="1" thickBot="1" x14ac:dyDescent="0.3">
      <c r="B26" s="47">
        <v>1</v>
      </c>
      <c r="C26" s="147" t="s">
        <v>34</v>
      </c>
      <c r="D26" s="54">
        <v>231</v>
      </c>
      <c r="E26" s="58">
        <v>72600</v>
      </c>
      <c r="F26" s="206"/>
      <c r="G26" s="214">
        <v>74415</v>
      </c>
      <c r="H26" s="214">
        <v>74415</v>
      </c>
      <c r="I26" s="214">
        <f>G26*5%</f>
        <v>3720.75</v>
      </c>
      <c r="J26" s="214">
        <f>I26</f>
        <v>3720.75</v>
      </c>
      <c r="K26" s="49" t="s">
        <v>35</v>
      </c>
      <c r="M26" s="243">
        <f>G26*5%</f>
        <v>3720.75</v>
      </c>
      <c r="O26" s="182">
        <f>G26/1.21</f>
        <v>61500</v>
      </c>
      <c r="Q26" s="220" t="s">
        <v>80</v>
      </c>
    </row>
    <row r="27" spans="2:19" s="43" customFormat="1" ht="38.450000000000003" customHeight="1" thickBot="1" x14ac:dyDescent="0.3">
      <c r="B27" s="50">
        <v>2</v>
      </c>
      <c r="C27" s="148" t="s">
        <v>5</v>
      </c>
      <c r="D27" s="55">
        <v>314</v>
      </c>
      <c r="E27" s="59">
        <v>181500</v>
      </c>
      <c r="F27" s="101"/>
      <c r="G27" s="215">
        <v>90750</v>
      </c>
      <c r="H27" s="215">
        <v>90750</v>
      </c>
      <c r="I27" s="214">
        <f t="shared" ref="I27:I29" si="7">G27*5%</f>
        <v>4537.5</v>
      </c>
      <c r="J27" s="214">
        <f t="shared" ref="J27:J29" si="8">I27</f>
        <v>4537.5</v>
      </c>
      <c r="K27" s="45" t="s">
        <v>38</v>
      </c>
      <c r="M27" s="244">
        <f t="shared" ref="M27:M29" si="9">G27*5%</f>
        <v>4537.5</v>
      </c>
      <c r="O27" s="183">
        <f t="shared" ref="O27:O29" si="10">G27/1.21</f>
        <v>75000</v>
      </c>
      <c r="Q27" s="219" t="s">
        <v>79</v>
      </c>
    </row>
    <row r="28" spans="2:19" s="43" customFormat="1" ht="36" customHeight="1" thickBot="1" x14ac:dyDescent="0.3">
      <c r="B28" s="50">
        <v>3</v>
      </c>
      <c r="C28" s="148" t="s">
        <v>36</v>
      </c>
      <c r="D28" s="55">
        <v>577</v>
      </c>
      <c r="E28" s="59">
        <v>181500</v>
      </c>
      <c r="F28" s="101"/>
      <c r="G28" s="215">
        <v>84700</v>
      </c>
      <c r="H28" s="215">
        <v>84700</v>
      </c>
      <c r="I28" s="214">
        <f t="shared" si="7"/>
        <v>4235</v>
      </c>
      <c r="J28" s="214">
        <f t="shared" si="8"/>
        <v>4235</v>
      </c>
      <c r="K28" s="45" t="s">
        <v>39</v>
      </c>
      <c r="M28" s="244">
        <f t="shared" si="9"/>
        <v>4235</v>
      </c>
      <c r="O28" s="183">
        <f t="shared" si="10"/>
        <v>70000</v>
      </c>
      <c r="Q28" s="335" t="s">
        <v>78</v>
      </c>
    </row>
    <row r="29" spans="2:19" ht="39.6" customHeight="1" thickBot="1" x14ac:dyDescent="0.3">
      <c r="B29" s="52">
        <v>4</v>
      </c>
      <c r="C29" s="149" t="s">
        <v>6</v>
      </c>
      <c r="D29" s="56">
        <v>1050</v>
      </c>
      <c r="E29" s="60">
        <v>133100</v>
      </c>
      <c r="F29" s="207"/>
      <c r="G29" s="216">
        <v>106480</v>
      </c>
      <c r="H29" s="216">
        <v>106480</v>
      </c>
      <c r="I29" s="214">
        <f t="shared" si="7"/>
        <v>5324</v>
      </c>
      <c r="J29" s="214">
        <f t="shared" si="8"/>
        <v>5324</v>
      </c>
      <c r="K29" s="46" t="s">
        <v>40</v>
      </c>
      <c r="L29" s="43"/>
      <c r="M29" s="245">
        <f t="shared" si="9"/>
        <v>5324</v>
      </c>
      <c r="N29" s="43"/>
      <c r="O29" s="184">
        <f t="shared" si="10"/>
        <v>88000</v>
      </c>
      <c r="P29" s="43"/>
      <c r="Q29" s="336"/>
    </row>
    <row r="30" spans="2:19" s="44" customFormat="1" ht="31.15" customHeight="1" thickBot="1" x14ac:dyDescent="0.3">
      <c r="B30" s="323"/>
      <c r="C30" s="324"/>
      <c r="D30" s="57"/>
      <c r="E30" s="170">
        <f>SUM(E26:E29)</f>
        <v>568700</v>
      </c>
      <c r="F30" s="170">
        <v>356345</v>
      </c>
      <c r="G30" s="254">
        <f>SUM(G26:G29)</f>
        <v>356345</v>
      </c>
      <c r="H30" s="254">
        <f>SUM(H26:H29)</f>
        <v>356345</v>
      </c>
      <c r="I30" s="254">
        <f>G30*5%</f>
        <v>17817.25</v>
      </c>
      <c r="J30" s="254">
        <f>SUM(J26:J29)</f>
        <v>17817.25</v>
      </c>
      <c r="K30" s="204" t="s">
        <v>44</v>
      </c>
      <c r="L30" s="174">
        <f>G30*5%</f>
        <v>17817.25</v>
      </c>
      <c r="M30" s="175">
        <f>SUM(M26:M29)</f>
        <v>17817.25</v>
      </c>
      <c r="N30" s="176">
        <f>F30/1.21</f>
        <v>294500</v>
      </c>
      <c r="O30" s="108">
        <f>G30/1.21</f>
        <v>294500</v>
      </c>
      <c r="P30" s="177">
        <f>F30-G30</f>
        <v>0</v>
      </c>
      <c r="Q30" s="96"/>
    </row>
    <row r="31" spans="2:19" ht="15" customHeight="1" x14ac:dyDescent="0.25">
      <c r="G31" s="233">
        <f>G30-H30</f>
        <v>0</v>
      </c>
      <c r="O31" s="1">
        <f>G31/1.21</f>
        <v>0</v>
      </c>
    </row>
    <row r="32" spans="2:19" ht="41.45" customHeight="1" thickBot="1" x14ac:dyDescent="0.3">
      <c r="B32" s="337" t="s">
        <v>41</v>
      </c>
      <c r="C32" s="337"/>
      <c r="D32" s="337"/>
      <c r="E32" s="337"/>
      <c r="F32" s="62"/>
      <c r="G32" s="62"/>
      <c r="H32" s="62"/>
      <c r="I32" s="62"/>
      <c r="J32" s="62"/>
      <c r="K32" s="44"/>
      <c r="L32" s="44"/>
      <c r="M32" s="44"/>
      <c r="N32" s="44"/>
      <c r="O32" s="44"/>
      <c r="P32" s="44"/>
      <c r="Q32" s="44"/>
    </row>
    <row r="33" spans="2:19" ht="15" customHeight="1" x14ac:dyDescent="0.25">
      <c r="B33" s="289" t="s">
        <v>9</v>
      </c>
      <c r="C33" s="291" t="s">
        <v>57</v>
      </c>
      <c r="D33" s="293" t="s">
        <v>8</v>
      </c>
      <c r="E33" s="295" t="s">
        <v>62</v>
      </c>
      <c r="F33" s="295" t="s">
        <v>61</v>
      </c>
      <c r="G33" s="297" t="s">
        <v>60</v>
      </c>
      <c r="H33" s="297" t="s">
        <v>99</v>
      </c>
      <c r="I33" s="297" t="s">
        <v>101</v>
      </c>
      <c r="J33" s="297" t="s">
        <v>100</v>
      </c>
      <c r="K33" s="303" t="s">
        <v>10</v>
      </c>
      <c r="L33" s="305" t="s">
        <v>64</v>
      </c>
      <c r="M33" s="307" t="s">
        <v>66</v>
      </c>
      <c r="N33" s="305" t="s">
        <v>63</v>
      </c>
      <c r="O33" s="309" t="s">
        <v>68</v>
      </c>
      <c r="P33" s="311" t="s">
        <v>67</v>
      </c>
      <c r="Q33" s="313" t="s">
        <v>33</v>
      </c>
    </row>
    <row r="34" spans="2:19" ht="41.45" customHeight="1" thickBot="1" x14ac:dyDescent="0.3">
      <c r="B34" s="319"/>
      <c r="C34" s="320"/>
      <c r="D34" s="321"/>
      <c r="E34" s="322"/>
      <c r="F34" s="302"/>
      <c r="G34" s="298"/>
      <c r="H34" s="298"/>
      <c r="I34" s="298"/>
      <c r="J34" s="298"/>
      <c r="K34" s="338"/>
      <c r="L34" s="306"/>
      <c r="M34" s="308"/>
      <c r="N34" s="306"/>
      <c r="O34" s="310"/>
      <c r="P34" s="312"/>
      <c r="Q34" s="314"/>
    </row>
    <row r="35" spans="2:19" s="43" customFormat="1" ht="25.15" customHeight="1" thickBot="1" x14ac:dyDescent="0.3">
      <c r="B35" s="47">
        <v>1</v>
      </c>
      <c r="C35" s="147" t="s">
        <v>1</v>
      </c>
      <c r="D35" s="54">
        <v>985</v>
      </c>
      <c r="E35" s="58"/>
      <c r="F35" s="206"/>
      <c r="G35" s="217">
        <v>111320</v>
      </c>
      <c r="H35" s="217">
        <v>111320</v>
      </c>
      <c r="I35" s="217">
        <f>G35*5%</f>
        <v>5566</v>
      </c>
      <c r="J35" s="217">
        <f>I35</f>
        <v>5566</v>
      </c>
      <c r="K35" s="73" t="s">
        <v>42</v>
      </c>
      <c r="M35" s="243">
        <f>G35*5%</f>
        <v>5566</v>
      </c>
      <c r="Q35" s="339" t="s">
        <v>79</v>
      </c>
      <c r="S35" s="75"/>
    </row>
    <row r="36" spans="2:19" ht="32.25" thickBot="1" x14ac:dyDescent="0.3">
      <c r="B36" s="50">
        <v>2</v>
      </c>
      <c r="C36" s="148" t="s">
        <v>43</v>
      </c>
      <c r="D36" s="55">
        <v>1820</v>
      </c>
      <c r="E36" s="59"/>
      <c r="F36" s="207"/>
      <c r="G36" s="218">
        <v>91960</v>
      </c>
      <c r="H36" s="218">
        <v>91960</v>
      </c>
      <c r="I36" s="217">
        <f>G36*5%</f>
        <v>4598</v>
      </c>
      <c r="J36" s="217">
        <f>I36</f>
        <v>4598</v>
      </c>
      <c r="K36" s="74" t="s">
        <v>46</v>
      </c>
      <c r="L36" s="43"/>
      <c r="M36" s="245">
        <f>G36*5%</f>
        <v>4598</v>
      </c>
      <c r="N36" s="43"/>
      <c r="O36" s="43"/>
      <c r="P36" s="43"/>
      <c r="Q36" s="336"/>
    </row>
    <row r="37" spans="2:19" s="44" customFormat="1" ht="31.15" customHeight="1" thickBot="1" x14ac:dyDescent="0.3">
      <c r="B37" s="323"/>
      <c r="C37" s="324"/>
      <c r="D37" s="57"/>
      <c r="E37" s="170">
        <v>246840</v>
      </c>
      <c r="F37" s="170">
        <v>203280</v>
      </c>
      <c r="G37" s="253">
        <f>SUM(G35:G36)</f>
        <v>203280</v>
      </c>
      <c r="H37" s="253">
        <f>SUM(H35:H36)</f>
        <v>203280</v>
      </c>
      <c r="I37" s="253">
        <f>G37*5%</f>
        <v>10164</v>
      </c>
      <c r="J37" s="253">
        <f>SUM(J35:J36)</f>
        <v>10164</v>
      </c>
      <c r="K37" s="205" t="s">
        <v>45</v>
      </c>
      <c r="L37" s="174">
        <f>G37*5%</f>
        <v>10164</v>
      </c>
      <c r="M37" s="88">
        <f>SUM(M35:M36)</f>
        <v>10164</v>
      </c>
      <c r="N37" s="178">
        <f>F37/1.21</f>
        <v>168000</v>
      </c>
      <c r="O37" s="106">
        <f>G37/1.21</f>
        <v>168000</v>
      </c>
      <c r="P37" s="177">
        <f>F37-G37</f>
        <v>0</v>
      </c>
      <c r="Q37" s="76"/>
    </row>
    <row r="38" spans="2:19" ht="15" customHeight="1" x14ac:dyDescent="0.25">
      <c r="H38" s="257">
        <f>H37+H30+H9</f>
        <v>1818025</v>
      </c>
      <c r="I38" s="257">
        <f>I37+I30+I9</f>
        <v>110200.75</v>
      </c>
      <c r="J38" s="257">
        <f>J37+J30+J9</f>
        <v>32549</v>
      </c>
    </row>
    <row r="39" spans="2:19" ht="41.45" customHeight="1" thickBot="1" x14ac:dyDescent="0.3">
      <c r="B39" s="340" t="s">
        <v>52</v>
      </c>
      <c r="C39" s="340"/>
      <c r="D39" s="340"/>
      <c r="E39" s="340"/>
      <c r="F39" s="61"/>
      <c r="G39" s="61"/>
      <c r="H39" s="61"/>
      <c r="I39" s="61"/>
      <c r="J39" s="61"/>
      <c r="K39" s="44"/>
      <c r="L39" s="44"/>
      <c r="M39" s="44"/>
      <c r="N39" s="44"/>
      <c r="O39" s="44"/>
      <c r="P39" s="44"/>
      <c r="Q39" s="44"/>
    </row>
    <row r="40" spans="2:19" s="43" customFormat="1" ht="30" customHeight="1" x14ac:dyDescent="0.25">
      <c r="B40" s="289" t="s">
        <v>9</v>
      </c>
      <c r="C40" s="341" t="s">
        <v>56</v>
      </c>
      <c r="D40" s="293"/>
      <c r="E40" s="295" t="s">
        <v>62</v>
      </c>
      <c r="F40" s="344" t="s">
        <v>72</v>
      </c>
      <c r="G40" s="297" t="s">
        <v>60</v>
      </c>
      <c r="H40" s="297" t="s">
        <v>99</v>
      </c>
      <c r="I40" s="297" t="s">
        <v>101</v>
      </c>
      <c r="J40" s="297" t="s">
        <v>100</v>
      </c>
      <c r="K40" s="325" t="s">
        <v>10</v>
      </c>
      <c r="L40" s="327" t="s">
        <v>64</v>
      </c>
      <c r="M40" s="307" t="s">
        <v>77</v>
      </c>
      <c r="N40" s="347" t="s">
        <v>63</v>
      </c>
      <c r="O40" s="309" t="s">
        <v>68</v>
      </c>
      <c r="P40" s="349" t="s">
        <v>47</v>
      </c>
      <c r="Q40" s="333" t="s">
        <v>33</v>
      </c>
    </row>
    <row r="41" spans="2:19" s="43" customFormat="1" ht="30" customHeight="1" thickBot="1" x14ac:dyDescent="0.3">
      <c r="B41" s="319"/>
      <c r="C41" s="342"/>
      <c r="D41" s="321"/>
      <c r="E41" s="322"/>
      <c r="F41" s="345"/>
      <c r="G41" s="298"/>
      <c r="H41" s="298"/>
      <c r="I41" s="298"/>
      <c r="J41" s="298"/>
      <c r="K41" s="346"/>
      <c r="L41" s="328"/>
      <c r="M41" s="308"/>
      <c r="N41" s="348"/>
      <c r="O41" s="310"/>
      <c r="P41" s="350"/>
      <c r="Q41" s="334"/>
    </row>
    <row r="42" spans="2:19" s="43" customFormat="1" ht="30" customHeight="1" x14ac:dyDescent="0.25">
      <c r="B42" s="47">
        <v>1</v>
      </c>
      <c r="C42" s="48" t="s">
        <v>53</v>
      </c>
      <c r="D42" s="54"/>
      <c r="E42" s="58">
        <v>181200</v>
      </c>
      <c r="F42" s="191">
        <v>220000</v>
      </c>
      <c r="G42" s="215">
        <f t="shared" ref="G42:H48" si="11">O42*1.21</f>
        <v>118096</v>
      </c>
      <c r="H42" s="215">
        <f t="shared" si="11"/>
        <v>0</v>
      </c>
      <c r="I42" s="215">
        <f>G42*5%</f>
        <v>5904.8</v>
      </c>
      <c r="J42" s="215">
        <f t="shared" ref="J42:J48" si="12">R42*1.21</f>
        <v>0</v>
      </c>
      <c r="K42" s="246">
        <f>10%*G42</f>
        <v>11809.6</v>
      </c>
      <c r="L42" s="247">
        <f>G42*5%</f>
        <v>5904.8</v>
      </c>
      <c r="M42" s="198"/>
      <c r="N42" s="211">
        <f t="shared" ref="N42:N50" si="13">F42/1.21</f>
        <v>181818.18181818182</v>
      </c>
      <c r="O42" s="222">
        <v>97600</v>
      </c>
      <c r="P42" s="198"/>
      <c r="Q42" s="228" t="s">
        <v>83</v>
      </c>
    </row>
    <row r="43" spans="2:19" s="43" customFormat="1" ht="30" customHeight="1" x14ac:dyDescent="0.25">
      <c r="B43" s="50">
        <v>2</v>
      </c>
      <c r="C43" s="51" t="s">
        <v>48</v>
      </c>
      <c r="D43" s="55"/>
      <c r="E43" s="59">
        <v>1190000</v>
      </c>
      <c r="F43" s="192">
        <v>1654000</v>
      </c>
      <c r="G43" s="215">
        <f t="shared" si="11"/>
        <v>713416</v>
      </c>
      <c r="H43" s="215">
        <f t="shared" si="11"/>
        <v>0</v>
      </c>
      <c r="I43" s="215">
        <f t="shared" ref="I43:I48" si="14">G43*5%</f>
        <v>35670.800000000003</v>
      </c>
      <c r="J43" s="215">
        <f t="shared" si="12"/>
        <v>0</v>
      </c>
      <c r="K43" s="246"/>
      <c r="L43" s="248">
        <f t="shared" ref="L43:L48" si="15">G43*5%</f>
        <v>35670.800000000003</v>
      </c>
      <c r="M43" s="200"/>
      <c r="N43" s="212">
        <f t="shared" si="13"/>
        <v>1366942.1487603306</v>
      </c>
      <c r="O43" s="223">
        <v>589600</v>
      </c>
      <c r="P43" s="201"/>
      <c r="Q43" s="228" t="s">
        <v>84</v>
      </c>
    </row>
    <row r="44" spans="2:19" s="43" customFormat="1" ht="30" customHeight="1" x14ac:dyDescent="0.25">
      <c r="B44" s="50">
        <v>3</v>
      </c>
      <c r="C44" s="51" t="s">
        <v>49</v>
      </c>
      <c r="D44" s="55"/>
      <c r="E44" s="59">
        <v>87850</v>
      </c>
      <c r="F44" s="192">
        <v>150000</v>
      </c>
      <c r="G44" s="215">
        <f t="shared" si="11"/>
        <v>75746</v>
      </c>
      <c r="H44" s="215">
        <f t="shared" si="11"/>
        <v>0</v>
      </c>
      <c r="I44" s="215">
        <f t="shared" si="14"/>
        <v>3787.3</v>
      </c>
      <c r="J44" s="215">
        <f t="shared" si="12"/>
        <v>0</v>
      </c>
      <c r="K44" s="246">
        <f>10%*G44</f>
        <v>7574.6</v>
      </c>
      <c r="L44" s="248">
        <f t="shared" si="15"/>
        <v>3787.3</v>
      </c>
      <c r="M44" s="200"/>
      <c r="N44" s="212">
        <f t="shared" si="13"/>
        <v>123966.94214876034</v>
      </c>
      <c r="O44" s="223">
        <v>62600</v>
      </c>
      <c r="P44" s="200"/>
      <c r="Q44" s="228" t="s">
        <v>85</v>
      </c>
    </row>
    <row r="45" spans="2:19" s="43" customFormat="1" ht="30" customHeight="1" x14ac:dyDescent="0.25">
      <c r="B45" s="50">
        <v>4</v>
      </c>
      <c r="C45" s="51" t="s">
        <v>50</v>
      </c>
      <c r="D45" s="98"/>
      <c r="E45" s="59">
        <v>28500</v>
      </c>
      <c r="F45" s="192">
        <v>93000</v>
      </c>
      <c r="G45" s="215">
        <f t="shared" si="11"/>
        <v>53240</v>
      </c>
      <c r="H45" s="215">
        <f t="shared" si="11"/>
        <v>0</v>
      </c>
      <c r="I45" s="215">
        <f t="shared" si="14"/>
        <v>2662</v>
      </c>
      <c r="J45" s="215">
        <f t="shared" si="12"/>
        <v>0</v>
      </c>
      <c r="K45" s="246">
        <f>10%*G45</f>
        <v>5324</v>
      </c>
      <c r="L45" s="248">
        <f t="shared" si="15"/>
        <v>2662</v>
      </c>
      <c r="M45" s="200"/>
      <c r="N45" s="212">
        <f t="shared" si="13"/>
        <v>76859.504132231406</v>
      </c>
      <c r="O45" s="223">
        <v>44000</v>
      </c>
      <c r="P45" s="200"/>
      <c r="Q45" s="228" t="s">
        <v>82</v>
      </c>
    </row>
    <row r="46" spans="2:19" s="43" customFormat="1" ht="30" customHeight="1" x14ac:dyDescent="0.25">
      <c r="B46" s="50">
        <v>5</v>
      </c>
      <c r="C46" s="51" t="s">
        <v>54</v>
      </c>
      <c r="D46" s="55"/>
      <c r="E46" s="59">
        <v>1072000</v>
      </c>
      <c r="F46" s="192">
        <v>1440555</v>
      </c>
      <c r="G46" s="215">
        <f t="shared" si="11"/>
        <v>575355</v>
      </c>
      <c r="H46" s="215">
        <f t="shared" si="11"/>
        <v>0</v>
      </c>
      <c r="I46" s="215">
        <f t="shared" si="14"/>
        <v>28767.75</v>
      </c>
      <c r="J46" s="215">
        <f t="shared" si="12"/>
        <v>0</v>
      </c>
      <c r="K46" s="246">
        <f>35%*G46</f>
        <v>201374.25</v>
      </c>
      <c r="L46" s="248">
        <f t="shared" si="15"/>
        <v>28767.75</v>
      </c>
      <c r="M46" s="200"/>
      <c r="N46" s="212">
        <f t="shared" si="13"/>
        <v>1190541.3223140496</v>
      </c>
      <c r="O46" s="223">
        <v>475500</v>
      </c>
      <c r="P46" s="200"/>
      <c r="Q46" s="228" t="s">
        <v>86</v>
      </c>
    </row>
    <row r="47" spans="2:19" s="43" customFormat="1" ht="30" customHeight="1" x14ac:dyDescent="0.25">
      <c r="B47" s="97">
        <v>6</v>
      </c>
      <c r="C47" s="99" t="s">
        <v>55</v>
      </c>
      <c r="D47" s="100"/>
      <c r="E47" s="101">
        <v>212600</v>
      </c>
      <c r="F47" s="192">
        <v>200000</v>
      </c>
      <c r="G47" s="215">
        <f t="shared" si="11"/>
        <v>102245</v>
      </c>
      <c r="H47" s="215">
        <f t="shared" si="11"/>
        <v>0</v>
      </c>
      <c r="I47" s="215">
        <f t="shared" si="14"/>
        <v>5112.25</v>
      </c>
      <c r="J47" s="215">
        <f t="shared" si="12"/>
        <v>0</v>
      </c>
      <c r="K47" s="246">
        <f>10%*G47</f>
        <v>10224.5</v>
      </c>
      <c r="L47" s="248">
        <f t="shared" si="15"/>
        <v>5112.25</v>
      </c>
      <c r="M47" s="200"/>
      <c r="N47" s="212">
        <f t="shared" si="13"/>
        <v>165289.25619834711</v>
      </c>
      <c r="O47" s="223">
        <v>84500</v>
      </c>
      <c r="P47" s="200"/>
      <c r="Q47" s="228" t="s">
        <v>87</v>
      </c>
    </row>
    <row r="48" spans="2:19" s="43" customFormat="1" ht="29.45" customHeight="1" thickBot="1" x14ac:dyDescent="0.3">
      <c r="B48" s="97">
        <v>7</v>
      </c>
      <c r="C48" s="53" t="s">
        <v>51</v>
      </c>
      <c r="D48" s="56"/>
      <c r="E48" s="60">
        <v>377400</v>
      </c>
      <c r="F48" s="193">
        <v>530000</v>
      </c>
      <c r="G48" s="215">
        <f t="shared" si="11"/>
        <v>229174</v>
      </c>
      <c r="H48" s="215">
        <f t="shared" si="11"/>
        <v>0</v>
      </c>
      <c r="I48" s="215">
        <f t="shared" si="14"/>
        <v>11458.7</v>
      </c>
      <c r="J48" s="215">
        <f t="shared" si="12"/>
        <v>0</v>
      </c>
      <c r="K48" s="246"/>
      <c r="L48" s="249">
        <f t="shared" si="15"/>
        <v>11458.7</v>
      </c>
      <c r="M48" s="203"/>
      <c r="N48" s="213">
        <f t="shared" si="13"/>
        <v>438016.52892561984</v>
      </c>
      <c r="O48" s="224">
        <v>189400</v>
      </c>
      <c r="P48" s="203"/>
      <c r="Q48" s="228" t="s">
        <v>88</v>
      </c>
    </row>
    <row r="49" spans="2:19" ht="32.450000000000003" customHeight="1" thickBot="1" x14ac:dyDescent="0.3">
      <c r="B49" s="323"/>
      <c r="C49" s="324"/>
      <c r="D49" s="57"/>
      <c r="E49" s="170">
        <f t="shared" ref="E49:J49" si="16">SUM(E42:E48)</f>
        <v>3149550</v>
      </c>
      <c r="F49" s="190">
        <f t="shared" si="16"/>
        <v>4287555</v>
      </c>
      <c r="G49" s="111">
        <f t="shared" si="16"/>
        <v>1867272</v>
      </c>
      <c r="H49" s="111">
        <f t="shared" si="16"/>
        <v>0</v>
      </c>
      <c r="I49" s="111">
        <f t="shared" si="16"/>
        <v>93363.6</v>
      </c>
      <c r="J49" s="111">
        <f t="shared" si="16"/>
        <v>0</v>
      </c>
      <c r="K49" s="204" t="s">
        <v>73</v>
      </c>
      <c r="L49" s="173">
        <f>SUM(L42:L48)</f>
        <v>93363.6</v>
      </c>
      <c r="M49" s="175" t="e">
        <f>#REF!/1.21</f>
        <v>#REF!</v>
      </c>
      <c r="N49" s="196">
        <f t="shared" si="13"/>
        <v>3543433.8842975209</v>
      </c>
      <c r="O49" s="108">
        <f>G49/1.21</f>
        <v>1543200</v>
      </c>
      <c r="P49" s="89"/>
      <c r="Q49" s="77"/>
    </row>
    <row r="50" spans="2:19" ht="17.25" x14ac:dyDescent="0.25">
      <c r="B50" s="90"/>
      <c r="C50" s="90"/>
      <c r="D50" s="251">
        <v>0.05</v>
      </c>
      <c r="E50" s="92">
        <f t="shared" ref="E50:J50" si="17">E49*5%</f>
        <v>157477.5</v>
      </c>
      <c r="F50" s="233">
        <f t="shared" si="17"/>
        <v>214377.75</v>
      </c>
      <c r="G50" s="233">
        <f t="shared" si="17"/>
        <v>93363.6</v>
      </c>
      <c r="H50" s="233">
        <f t="shared" si="17"/>
        <v>0</v>
      </c>
      <c r="I50" s="233">
        <f t="shared" si="17"/>
        <v>4668.18</v>
      </c>
      <c r="J50" s="233">
        <f t="shared" si="17"/>
        <v>0</v>
      </c>
      <c r="K50" s="232">
        <f>SUM(K42:K48)</f>
        <v>236306.95</v>
      </c>
      <c r="L50" s="95"/>
      <c r="M50" s="95"/>
      <c r="N50" s="95">
        <f t="shared" si="13"/>
        <v>177171.69421487604</v>
      </c>
      <c r="O50" s="95"/>
      <c r="P50" s="194"/>
      <c r="Q50" s="195"/>
    </row>
    <row r="51" spans="2:19" ht="25.15" customHeight="1" x14ac:dyDescent="0.25">
      <c r="F51" s="230">
        <f>F49-G49</f>
        <v>2420283</v>
      </c>
      <c r="G51" s="256">
        <f>G49+G37+G30+G21+G9+964800</f>
        <v>5631407</v>
      </c>
      <c r="H51" s="188"/>
      <c r="I51" s="188"/>
      <c r="J51" s="188"/>
    </row>
    <row r="52" spans="2:19" x14ac:dyDescent="0.25">
      <c r="F52" s="229"/>
      <c r="G52" s="229"/>
      <c r="H52" s="229"/>
      <c r="I52" s="229"/>
      <c r="J52" s="229"/>
    </row>
    <row r="54" spans="2:19" ht="19.5" x14ac:dyDescent="0.25">
      <c r="B54" s="343" t="s">
        <v>95</v>
      </c>
      <c r="C54" s="343"/>
      <c r="D54" s="343"/>
      <c r="E54" s="343"/>
    </row>
    <row r="55" spans="2:19" ht="15.75" thickBot="1" x14ac:dyDescent="0.3">
      <c r="K55" s="252">
        <f>K50/18</f>
        <v>13128.16388888889</v>
      </c>
    </row>
    <row r="56" spans="2:19" ht="15.75" x14ac:dyDescent="0.25">
      <c r="B56" s="6">
        <v>1</v>
      </c>
      <c r="C56" s="144" t="s">
        <v>0</v>
      </c>
      <c r="D56" s="21"/>
      <c r="E56" s="33"/>
      <c r="F56" s="209"/>
      <c r="G56" s="133">
        <v>9680</v>
      </c>
      <c r="H56" s="133"/>
      <c r="I56" s="133"/>
      <c r="J56" s="133">
        <f>G56*5%</f>
        <v>484</v>
      </c>
      <c r="K56" s="85"/>
      <c r="L56" s="150"/>
      <c r="M56" s="240">
        <f>G56*5%</f>
        <v>484</v>
      </c>
      <c r="N56" s="151"/>
      <c r="O56" s="152"/>
      <c r="P56" s="153"/>
      <c r="Q56" s="299" t="s">
        <v>70</v>
      </c>
      <c r="R56" s="7"/>
      <c r="S56" s="7"/>
    </row>
    <row r="57" spans="2:19" ht="15.75" x14ac:dyDescent="0.25">
      <c r="B57" s="8">
        <v>2</v>
      </c>
      <c r="C57" s="145" t="s">
        <v>1</v>
      </c>
      <c r="D57" s="23"/>
      <c r="E57" s="29"/>
      <c r="F57" s="37"/>
      <c r="G57" s="134">
        <v>19360</v>
      </c>
      <c r="H57" s="134"/>
      <c r="I57" s="134"/>
      <c r="J57" s="259">
        <f t="shared" ref="J57:J65" si="18">G57*5%</f>
        <v>968</v>
      </c>
      <c r="K57" s="9"/>
      <c r="L57" s="154"/>
      <c r="M57" s="241">
        <f t="shared" ref="M57:M65" si="19">G57*5%</f>
        <v>968</v>
      </c>
      <c r="N57" s="155"/>
      <c r="O57" s="155"/>
      <c r="P57" s="156"/>
      <c r="Q57" s="300"/>
      <c r="R57" s="7"/>
      <c r="S57" s="7"/>
    </row>
    <row r="58" spans="2:19" ht="15.75" x14ac:dyDescent="0.25">
      <c r="B58" s="8">
        <v>3</v>
      </c>
      <c r="C58" s="145" t="s">
        <v>2</v>
      </c>
      <c r="D58" s="23"/>
      <c r="E58" s="29"/>
      <c r="F58" s="37"/>
      <c r="G58" s="134">
        <v>4840</v>
      </c>
      <c r="H58" s="134"/>
      <c r="I58" s="134"/>
      <c r="J58" s="259">
        <f t="shared" si="18"/>
        <v>242</v>
      </c>
      <c r="K58" s="9"/>
      <c r="L58" s="154"/>
      <c r="M58" s="241">
        <f t="shared" si="19"/>
        <v>242</v>
      </c>
      <c r="N58" s="155"/>
      <c r="O58" s="155"/>
      <c r="P58" s="156"/>
      <c r="Q58" s="300"/>
      <c r="R58" s="7"/>
      <c r="S58" s="7"/>
    </row>
    <row r="59" spans="2:19" ht="15.75" x14ac:dyDescent="0.25">
      <c r="B59" s="8">
        <v>4</v>
      </c>
      <c r="C59" s="145" t="s">
        <v>96</v>
      </c>
      <c r="D59" s="23"/>
      <c r="E59" s="29"/>
      <c r="F59" s="37"/>
      <c r="G59" s="134">
        <v>14520</v>
      </c>
      <c r="H59" s="134"/>
      <c r="I59" s="134"/>
      <c r="J59" s="259">
        <f t="shared" si="18"/>
        <v>726</v>
      </c>
      <c r="K59" s="9"/>
      <c r="L59" s="154"/>
      <c r="M59" s="241">
        <f t="shared" si="19"/>
        <v>726</v>
      </c>
      <c r="N59" s="155"/>
      <c r="O59" s="155"/>
      <c r="P59" s="155"/>
      <c r="Q59" s="300"/>
      <c r="R59" s="7"/>
      <c r="S59" s="7"/>
    </row>
    <row r="60" spans="2:19" ht="15.75" x14ac:dyDescent="0.25">
      <c r="B60" s="8">
        <v>5</v>
      </c>
      <c r="C60" s="145" t="s">
        <v>98</v>
      </c>
      <c r="D60" s="23"/>
      <c r="E60" s="29"/>
      <c r="F60" s="37"/>
      <c r="G60" s="134">
        <v>14520</v>
      </c>
      <c r="H60" s="134"/>
      <c r="I60" s="134"/>
      <c r="J60" s="259">
        <f t="shared" si="18"/>
        <v>726</v>
      </c>
      <c r="K60" s="9"/>
      <c r="L60" s="154"/>
      <c r="M60" s="241">
        <f t="shared" si="19"/>
        <v>726</v>
      </c>
      <c r="N60" s="155"/>
      <c r="O60" s="155"/>
      <c r="P60" s="155"/>
      <c r="Q60" s="300"/>
      <c r="R60" s="7"/>
      <c r="S60" s="7"/>
    </row>
    <row r="61" spans="2:19" ht="15.75" x14ac:dyDescent="0.25">
      <c r="B61" s="8">
        <v>6</v>
      </c>
      <c r="C61" s="145" t="s">
        <v>3</v>
      </c>
      <c r="D61" s="23"/>
      <c r="E61" s="29"/>
      <c r="F61" s="37"/>
      <c r="G61" s="134">
        <v>9680</v>
      </c>
      <c r="H61" s="134"/>
      <c r="I61" s="134"/>
      <c r="J61" s="259">
        <f t="shared" si="18"/>
        <v>484</v>
      </c>
      <c r="K61" s="9"/>
      <c r="L61" s="154"/>
      <c r="M61" s="241">
        <f t="shared" si="19"/>
        <v>484</v>
      </c>
      <c r="N61" s="155"/>
      <c r="O61" s="157"/>
      <c r="P61" s="155"/>
      <c r="Q61" s="300"/>
      <c r="R61" s="7"/>
      <c r="S61" s="7"/>
    </row>
    <row r="62" spans="2:19" ht="15.75" x14ac:dyDescent="0.25">
      <c r="B62" s="8">
        <v>7</v>
      </c>
      <c r="C62" s="145" t="s">
        <v>4</v>
      </c>
      <c r="D62" s="23"/>
      <c r="E62" s="29"/>
      <c r="F62" s="37"/>
      <c r="G62" s="134">
        <v>9680</v>
      </c>
      <c r="H62" s="134"/>
      <c r="I62" s="134"/>
      <c r="J62" s="259">
        <f t="shared" si="18"/>
        <v>484</v>
      </c>
      <c r="K62" s="9"/>
      <c r="L62" s="154"/>
      <c r="M62" s="241">
        <f t="shared" si="19"/>
        <v>484</v>
      </c>
      <c r="N62" s="155"/>
      <c r="O62" s="155"/>
      <c r="P62" s="155"/>
      <c r="Q62" s="300"/>
      <c r="R62" s="7"/>
      <c r="S62" s="7"/>
    </row>
    <row r="63" spans="2:19" ht="15.75" x14ac:dyDescent="0.25">
      <c r="B63" s="8">
        <v>8</v>
      </c>
      <c r="C63" s="145" t="s">
        <v>5</v>
      </c>
      <c r="D63" s="23"/>
      <c r="E63" s="29"/>
      <c r="F63" s="37"/>
      <c r="G63" s="134">
        <v>4840</v>
      </c>
      <c r="H63" s="134"/>
      <c r="I63" s="134"/>
      <c r="J63" s="259">
        <f t="shared" si="18"/>
        <v>242</v>
      </c>
      <c r="K63" s="9"/>
      <c r="L63" s="154"/>
      <c r="M63" s="241">
        <f t="shared" si="19"/>
        <v>242</v>
      </c>
      <c r="N63" s="155"/>
      <c r="O63" s="155"/>
      <c r="P63" s="155"/>
      <c r="Q63" s="300"/>
      <c r="R63" s="7"/>
      <c r="S63" s="7"/>
    </row>
    <row r="64" spans="2:19" ht="15.75" x14ac:dyDescent="0.25">
      <c r="B64" s="8">
        <v>9</v>
      </c>
      <c r="C64" s="145" t="s">
        <v>6</v>
      </c>
      <c r="D64" s="23"/>
      <c r="E64" s="29"/>
      <c r="F64" s="37"/>
      <c r="G64" s="134">
        <v>19360</v>
      </c>
      <c r="H64" s="134"/>
      <c r="I64" s="134"/>
      <c r="J64" s="259">
        <f t="shared" si="18"/>
        <v>968</v>
      </c>
      <c r="K64" s="9"/>
      <c r="L64" s="154"/>
      <c r="M64" s="241">
        <f t="shared" si="19"/>
        <v>968</v>
      </c>
      <c r="N64" s="155"/>
      <c r="O64" s="155"/>
      <c r="P64" s="155"/>
      <c r="Q64" s="300"/>
      <c r="R64" s="7"/>
      <c r="S64" s="7"/>
    </row>
    <row r="65" spans="2:19" ht="16.5" thickBot="1" x14ac:dyDescent="0.3">
      <c r="B65" s="36">
        <v>10</v>
      </c>
      <c r="C65" s="146" t="s">
        <v>97</v>
      </c>
      <c r="D65" s="22"/>
      <c r="E65" s="37"/>
      <c r="F65" s="210"/>
      <c r="G65" s="134">
        <v>11616</v>
      </c>
      <c r="H65" s="134"/>
      <c r="I65" s="134"/>
      <c r="J65" s="266">
        <f t="shared" si="18"/>
        <v>580.80000000000007</v>
      </c>
      <c r="K65" s="86"/>
      <c r="L65" s="158"/>
      <c r="M65" s="242">
        <f t="shared" si="19"/>
        <v>580.80000000000007</v>
      </c>
      <c r="N65" s="159"/>
      <c r="O65" s="159"/>
      <c r="P65" s="159"/>
      <c r="Q65" s="301"/>
      <c r="R65" s="7"/>
      <c r="S65" s="7"/>
    </row>
    <row r="66" spans="2:19" ht="18" thickBot="1" x14ac:dyDescent="0.3">
      <c r="B66" s="115"/>
      <c r="C66" s="118"/>
      <c r="D66" s="119"/>
      <c r="E66" s="40">
        <f>SUM(E56:E65)</f>
        <v>0</v>
      </c>
      <c r="F66" s="40">
        <f>G42</f>
        <v>118096</v>
      </c>
      <c r="G66" s="41">
        <f>SUM(G56:G65)</f>
        <v>118096</v>
      </c>
      <c r="H66" s="41">
        <f>SUM(H56:H65)</f>
        <v>0</v>
      </c>
      <c r="I66" s="41">
        <f>G66*5%</f>
        <v>5904.8</v>
      </c>
      <c r="J66" s="41">
        <f>SUM(J56:J65)</f>
        <v>5904.8</v>
      </c>
      <c r="K66" s="87" t="s">
        <v>31</v>
      </c>
      <c r="L66" s="171">
        <f>G66*5%</f>
        <v>5904.8</v>
      </c>
      <c r="M66" s="82">
        <f>SUM(M56:M65)</f>
        <v>5904.8</v>
      </c>
      <c r="N66" s="171">
        <f>F66/1.21</f>
        <v>97600</v>
      </c>
      <c r="O66" s="172">
        <f>G66/1.21</f>
        <v>97600</v>
      </c>
      <c r="P66" s="163">
        <f>F66-G66</f>
        <v>0</v>
      </c>
      <c r="Q66" s="136" t="s">
        <v>65</v>
      </c>
      <c r="R66" s="164">
        <f>P54+P66</f>
        <v>0</v>
      </c>
      <c r="S66" s="165" t="s">
        <v>71</v>
      </c>
    </row>
    <row r="69" spans="2:19" ht="19.5" x14ac:dyDescent="0.25">
      <c r="B69" s="343" t="s">
        <v>102</v>
      </c>
      <c r="C69" s="343"/>
      <c r="D69" s="343"/>
      <c r="E69" s="343"/>
    </row>
    <row r="70" spans="2:19" ht="15.75" thickBot="1" x14ac:dyDescent="0.3">
      <c r="K70" s="252">
        <f>K65/18</f>
        <v>0</v>
      </c>
    </row>
    <row r="71" spans="2:19" ht="15.75" x14ac:dyDescent="0.25">
      <c r="B71" s="6">
        <v>1</v>
      </c>
      <c r="C71" s="144" t="s">
        <v>0</v>
      </c>
      <c r="D71" s="21"/>
      <c r="E71" s="33"/>
      <c r="F71" s="209"/>
      <c r="G71" s="133">
        <v>22022</v>
      </c>
      <c r="H71" s="133"/>
      <c r="I71" s="133"/>
      <c r="J71" s="133">
        <f>G71*5%</f>
        <v>1101.1000000000001</v>
      </c>
      <c r="K71" s="85"/>
      <c r="L71" s="150"/>
      <c r="M71" s="240">
        <f>G71*5%</f>
        <v>1101.1000000000001</v>
      </c>
      <c r="N71" s="151"/>
      <c r="O71" s="152"/>
      <c r="P71" s="153"/>
      <c r="Q71" s="299" t="s">
        <v>70</v>
      </c>
      <c r="R71" s="7"/>
      <c r="S71" s="7"/>
    </row>
    <row r="72" spans="2:19" ht="15.75" x14ac:dyDescent="0.25">
      <c r="B72" s="8">
        <v>2</v>
      </c>
      <c r="C72" s="145" t="s">
        <v>1</v>
      </c>
      <c r="D72" s="23"/>
      <c r="E72" s="29"/>
      <c r="F72" s="37"/>
      <c r="G72" s="134">
        <v>25168</v>
      </c>
      <c r="H72" s="134"/>
      <c r="I72" s="134"/>
      <c r="J72" s="259">
        <f t="shared" ref="J72:J83" si="20">G72*5%</f>
        <v>1258.4000000000001</v>
      </c>
      <c r="K72" s="9"/>
      <c r="L72" s="154"/>
      <c r="M72" s="241">
        <f t="shared" ref="M72:M83" si="21">G72*5%</f>
        <v>1258.4000000000001</v>
      </c>
      <c r="N72" s="155"/>
      <c r="O72" s="155"/>
      <c r="P72" s="156"/>
      <c r="Q72" s="300"/>
      <c r="R72" s="7"/>
      <c r="S72" s="7"/>
    </row>
    <row r="73" spans="2:19" ht="15.75" x14ac:dyDescent="0.25">
      <c r="B73" s="8">
        <v>3</v>
      </c>
      <c r="C73" s="145" t="s">
        <v>2</v>
      </c>
      <c r="D73" s="23"/>
      <c r="E73" s="29"/>
      <c r="F73" s="37"/>
      <c r="G73" s="134">
        <v>31460</v>
      </c>
      <c r="H73" s="134"/>
      <c r="I73" s="134"/>
      <c r="J73" s="259">
        <f t="shared" si="20"/>
        <v>1573</v>
      </c>
      <c r="K73" s="9"/>
      <c r="L73" s="154"/>
      <c r="M73" s="241">
        <f t="shared" si="21"/>
        <v>1573</v>
      </c>
      <c r="N73" s="155"/>
      <c r="O73" s="155"/>
      <c r="P73" s="156"/>
      <c r="Q73" s="300"/>
      <c r="R73" s="7"/>
      <c r="S73" s="7"/>
    </row>
    <row r="74" spans="2:19" ht="15.75" x14ac:dyDescent="0.25">
      <c r="B74" s="8">
        <v>4</v>
      </c>
      <c r="C74" s="145" t="s">
        <v>96</v>
      </c>
      <c r="D74" s="23"/>
      <c r="E74" s="29"/>
      <c r="F74" s="37"/>
      <c r="G74" s="134">
        <v>157300</v>
      </c>
      <c r="H74" s="134"/>
      <c r="I74" s="134"/>
      <c r="J74" s="259">
        <f t="shared" si="20"/>
        <v>7865</v>
      </c>
      <c r="K74" s="9"/>
      <c r="L74" s="154"/>
      <c r="M74" s="241">
        <f t="shared" si="21"/>
        <v>7865</v>
      </c>
      <c r="N74" s="155"/>
      <c r="O74" s="155"/>
      <c r="P74" s="155"/>
      <c r="Q74" s="300"/>
      <c r="R74" s="7"/>
      <c r="S74" s="7"/>
    </row>
    <row r="75" spans="2:19" ht="15.75" x14ac:dyDescent="0.25">
      <c r="B75" s="8">
        <v>5</v>
      </c>
      <c r="C75" s="145" t="s">
        <v>3</v>
      </c>
      <c r="D75" s="23"/>
      <c r="E75" s="29"/>
      <c r="F75" s="37"/>
      <c r="G75" s="134">
        <v>18876</v>
      </c>
      <c r="H75" s="134"/>
      <c r="I75" s="134"/>
      <c r="J75" s="259">
        <f t="shared" si="20"/>
        <v>943.80000000000007</v>
      </c>
      <c r="K75" s="9"/>
      <c r="L75" s="154"/>
      <c r="M75" s="241">
        <f t="shared" si="21"/>
        <v>943.80000000000007</v>
      </c>
      <c r="N75" s="155"/>
      <c r="O75" s="157"/>
      <c r="P75" s="155"/>
      <c r="Q75" s="300"/>
      <c r="R75" s="7"/>
      <c r="S75" s="7"/>
    </row>
    <row r="76" spans="2:19" ht="15.75" x14ac:dyDescent="0.25">
      <c r="B76" s="8">
        <v>6</v>
      </c>
      <c r="C76" s="145" t="s">
        <v>4</v>
      </c>
      <c r="D76" s="23"/>
      <c r="E76" s="29"/>
      <c r="F76" s="37"/>
      <c r="G76" s="134">
        <v>15730</v>
      </c>
      <c r="H76" s="134"/>
      <c r="I76" s="134"/>
      <c r="J76" s="259">
        <f t="shared" si="20"/>
        <v>786.5</v>
      </c>
      <c r="K76" s="9"/>
      <c r="L76" s="154"/>
      <c r="M76" s="241">
        <f t="shared" si="21"/>
        <v>786.5</v>
      </c>
      <c r="N76" s="155"/>
      <c r="O76" s="155"/>
      <c r="P76" s="155"/>
      <c r="Q76" s="300"/>
      <c r="R76" s="7"/>
      <c r="S76" s="7"/>
    </row>
    <row r="77" spans="2:19" ht="15.75" x14ac:dyDescent="0.25">
      <c r="B77" s="8">
        <v>7</v>
      </c>
      <c r="C77" s="145" t="s">
        <v>5</v>
      </c>
      <c r="D77" s="23"/>
      <c r="E77" s="29"/>
      <c r="F77" s="37"/>
      <c r="G77" s="134">
        <v>12584</v>
      </c>
      <c r="H77" s="134"/>
      <c r="I77" s="134"/>
      <c r="J77" s="259">
        <f t="shared" si="20"/>
        <v>629.20000000000005</v>
      </c>
      <c r="K77" s="9"/>
      <c r="L77" s="154"/>
      <c r="M77" s="241">
        <f t="shared" si="21"/>
        <v>629.20000000000005</v>
      </c>
      <c r="N77" s="155"/>
      <c r="O77" s="155"/>
      <c r="P77" s="155"/>
      <c r="Q77" s="300"/>
      <c r="R77" s="7"/>
      <c r="S77" s="7"/>
    </row>
    <row r="78" spans="2:19" ht="15.75" x14ac:dyDescent="0.25">
      <c r="B78" s="8">
        <v>8</v>
      </c>
      <c r="C78" s="145" t="s">
        <v>103</v>
      </c>
      <c r="D78" s="23"/>
      <c r="E78" s="29"/>
      <c r="F78" s="37"/>
      <c r="G78" s="134">
        <v>254100</v>
      </c>
      <c r="H78" s="134"/>
      <c r="I78" s="134"/>
      <c r="J78" s="259">
        <f t="shared" si="20"/>
        <v>12705</v>
      </c>
      <c r="K78" s="9"/>
      <c r="L78" s="154"/>
      <c r="M78" s="241">
        <f t="shared" si="21"/>
        <v>12705</v>
      </c>
      <c r="N78" s="155"/>
      <c r="O78" s="155"/>
      <c r="P78" s="155"/>
      <c r="Q78" s="300"/>
      <c r="R78" s="7"/>
      <c r="S78" s="7"/>
    </row>
    <row r="79" spans="2:19" ht="15.75" x14ac:dyDescent="0.25">
      <c r="B79" s="8">
        <v>9</v>
      </c>
      <c r="C79" s="145" t="s">
        <v>6</v>
      </c>
      <c r="D79" s="23"/>
      <c r="E79" s="29"/>
      <c r="F79" s="37"/>
      <c r="G79" s="134">
        <v>18876</v>
      </c>
      <c r="H79" s="134"/>
      <c r="I79" s="134"/>
      <c r="J79" s="259">
        <f t="shared" si="20"/>
        <v>943.80000000000007</v>
      </c>
      <c r="K79" s="9"/>
      <c r="L79" s="154"/>
      <c r="M79" s="241">
        <f t="shared" si="21"/>
        <v>943.80000000000007</v>
      </c>
      <c r="N79" s="155"/>
      <c r="O79" s="155"/>
      <c r="P79" s="155"/>
      <c r="Q79" s="300"/>
      <c r="R79" s="7"/>
      <c r="S79" s="7"/>
    </row>
    <row r="80" spans="2:19" ht="15.75" x14ac:dyDescent="0.25">
      <c r="B80" s="8">
        <v>10</v>
      </c>
      <c r="C80" s="261" t="s">
        <v>36</v>
      </c>
      <c r="D80" s="23"/>
      <c r="E80" s="262"/>
      <c r="F80" s="37"/>
      <c r="G80" s="134">
        <v>25168</v>
      </c>
      <c r="H80" s="134"/>
      <c r="I80" s="134"/>
      <c r="J80" s="259">
        <f t="shared" si="20"/>
        <v>1258.4000000000001</v>
      </c>
      <c r="K80" s="86"/>
      <c r="L80" s="154"/>
      <c r="M80" s="260">
        <f t="shared" si="21"/>
        <v>1258.4000000000001</v>
      </c>
      <c r="N80" s="155"/>
      <c r="O80" s="155"/>
      <c r="P80" s="155"/>
      <c r="Q80" s="300"/>
      <c r="R80" s="7"/>
      <c r="S80" s="7"/>
    </row>
    <row r="81" spans="2:19" ht="15.75" x14ac:dyDescent="0.25">
      <c r="B81" s="8">
        <v>11</v>
      </c>
      <c r="C81" s="261" t="s">
        <v>43</v>
      </c>
      <c r="D81" s="23"/>
      <c r="E81" s="262"/>
      <c r="F81" s="37"/>
      <c r="G81" s="134">
        <v>75504</v>
      </c>
      <c r="H81" s="134"/>
      <c r="I81" s="134"/>
      <c r="J81" s="259">
        <f t="shared" si="20"/>
        <v>3775.2000000000003</v>
      </c>
      <c r="K81" s="86"/>
      <c r="L81" s="154"/>
      <c r="M81" s="260">
        <f t="shared" si="21"/>
        <v>3775.2000000000003</v>
      </c>
      <c r="N81" s="155"/>
      <c r="O81" s="155"/>
      <c r="P81" s="155"/>
      <c r="Q81" s="300"/>
      <c r="R81" s="7"/>
      <c r="S81" s="7"/>
    </row>
    <row r="82" spans="2:19" ht="15.75" x14ac:dyDescent="0.25">
      <c r="B82" s="8">
        <v>12</v>
      </c>
      <c r="C82" s="261" t="s">
        <v>7</v>
      </c>
      <c r="D82" s="23"/>
      <c r="E82" s="262"/>
      <c r="F82" s="37"/>
      <c r="G82" s="134">
        <v>31460</v>
      </c>
      <c r="H82" s="134"/>
      <c r="I82" s="134"/>
      <c r="J82" s="259">
        <f t="shared" si="20"/>
        <v>1573</v>
      </c>
      <c r="K82" s="86"/>
      <c r="L82" s="154"/>
      <c r="M82" s="260">
        <f t="shared" si="21"/>
        <v>1573</v>
      </c>
      <c r="N82" s="155"/>
      <c r="O82" s="155"/>
      <c r="P82" s="155"/>
      <c r="Q82" s="300"/>
      <c r="R82" s="7"/>
      <c r="S82" s="7"/>
    </row>
    <row r="83" spans="2:19" ht="16.5" thickBot="1" x14ac:dyDescent="0.3">
      <c r="B83" s="8">
        <v>13</v>
      </c>
      <c r="C83" s="263" t="s">
        <v>97</v>
      </c>
      <c r="D83" s="264"/>
      <c r="E83" s="265"/>
      <c r="F83" s="210"/>
      <c r="G83" s="134">
        <v>25168</v>
      </c>
      <c r="H83" s="134"/>
      <c r="I83" s="134"/>
      <c r="J83" s="266">
        <f t="shared" si="20"/>
        <v>1258.4000000000001</v>
      </c>
      <c r="K83" s="86"/>
      <c r="L83" s="158"/>
      <c r="M83" s="242">
        <f t="shared" si="21"/>
        <v>1258.4000000000001</v>
      </c>
      <c r="N83" s="159"/>
      <c r="O83" s="159"/>
      <c r="P83" s="159"/>
      <c r="Q83" s="301"/>
      <c r="R83" s="7"/>
      <c r="S83" s="7"/>
    </row>
    <row r="84" spans="2:19" ht="18" thickBot="1" x14ac:dyDescent="0.3">
      <c r="B84" s="115"/>
      <c r="C84" s="118"/>
      <c r="D84" s="119"/>
      <c r="E84" s="40">
        <f>SUM(E71:E83)</f>
        <v>0</v>
      </c>
      <c r="F84" s="40">
        <f>G43</f>
        <v>713416</v>
      </c>
      <c r="G84" s="41">
        <f>SUM(G71:G83)</f>
        <v>713416</v>
      </c>
      <c r="H84" s="41">
        <f>SUM(H71:H83)</f>
        <v>0</v>
      </c>
      <c r="I84" s="41">
        <f>G84*5%</f>
        <v>35670.800000000003</v>
      </c>
      <c r="J84" s="41">
        <f>SUM(J71:J83)</f>
        <v>35670.800000000003</v>
      </c>
      <c r="K84" s="87" t="s">
        <v>31</v>
      </c>
      <c r="L84" s="171">
        <f>G84*5%</f>
        <v>35670.800000000003</v>
      </c>
      <c r="M84" s="82">
        <f>SUM(M71:M83)</f>
        <v>35670.800000000003</v>
      </c>
      <c r="N84" s="171">
        <f>F84/1.21</f>
        <v>589600</v>
      </c>
      <c r="O84" s="172">
        <f>G84/1.21</f>
        <v>589600</v>
      </c>
      <c r="P84" s="163">
        <f>F84-G84</f>
        <v>0</v>
      </c>
      <c r="Q84" s="136" t="s">
        <v>65</v>
      </c>
      <c r="R84" s="164">
        <f>P69+P84</f>
        <v>0</v>
      </c>
      <c r="S84" s="165" t="s">
        <v>71</v>
      </c>
    </row>
    <row r="85" spans="2:19" x14ac:dyDescent="0.25">
      <c r="C85" s="250"/>
    </row>
    <row r="86" spans="2:19" ht="19.5" x14ac:dyDescent="0.25">
      <c r="B86" s="343" t="s">
        <v>105</v>
      </c>
      <c r="C86" s="343"/>
      <c r="D86" s="343"/>
      <c r="E86" s="343"/>
    </row>
    <row r="87" spans="2:19" ht="15.75" thickBot="1" x14ac:dyDescent="0.3">
      <c r="K87" s="252">
        <f>K82/18</f>
        <v>0</v>
      </c>
    </row>
    <row r="88" spans="2:19" ht="15.75" x14ac:dyDescent="0.25">
      <c r="B88" s="6">
        <v>1</v>
      </c>
      <c r="C88" s="144" t="s">
        <v>0</v>
      </c>
      <c r="D88" s="21"/>
      <c r="E88" s="33"/>
      <c r="F88" s="209"/>
      <c r="G88" s="133">
        <v>6050</v>
      </c>
      <c r="H88" s="133"/>
      <c r="I88" s="133"/>
      <c r="J88" s="133">
        <f>G88*5%</f>
        <v>302.5</v>
      </c>
      <c r="K88" s="85"/>
      <c r="L88" s="150"/>
      <c r="M88" s="240">
        <f>G88*5%</f>
        <v>302.5</v>
      </c>
      <c r="N88" s="151"/>
      <c r="O88" s="152"/>
      <c r="P88" s="153"/>
      <c r="Q88" s="299" t="s">
        <v>70</v>
      </c>
      <c r="R88" s="7"/>
      <c r="S88" s="7"/>
    </row>
    <row r="89" spans="2:19" ht="15.75" x14ac:dyDescent="0.25">
      <c r="B89" s="267">
        <v>2</v>
      </c>
      <c r="C89" s="145" t="s">
        <v>1</v>
      </c>
      <c r="D89" s="23"/>
      <c r="E89" s="29"/>
      <c r="F89" s="37"/>
      <c r="G89" s="134">
        <v>6050</v>
      </c>
      <c r="H89" s="134"/>
      <c r="I89" s="134"/>
      <c r="J89" s="259">
        <f t="shared" ref="J89:J96" si="22">G89*5%</f>
        <v>302.5</v>
      </c>
      <c r="K89" s="9"/>
      <c r="L89" s="154"/>
      <c r="M89" s="241">
        <f t="shared" ref="M89:M96" si="23">G89*5%</f>
        <v>302.5</v>
      </c>
      <c r="N89" s="155"/>
      <c r="O89" s="155"/>
      <c r="P89" s="156"/>
      <c r="Q89" s="300"/>
      <c r="R89" s="7"/>
      <c r="S89" s="7"/>
    </row>
    <row r="90" spans="2:19" ht="15.75" x14ac:dyDescent="0.25">
      <c r="B90" s="267">
        <v>3</v>
      </c>
      <c r="C90" s="145" t="s">
        <v>3</v>
      </c>
      <c r="D90" s="23"/>
      <c r="E90" s="29"/>
      <c r="F90" s="37"/>
      <c r="G90" s="134">
        <v>6050</v>
      </c>
      <c r="H90" s="134"/>
      <c r="I90" s="134"/>
      <c r="J90" s="259">
        <f t="shared" si="22"/>
        <v>302.5</v>
      </c>
      <c r="K90" s="9"/>
      <c r="L90" s="154"/>
      <c r="M90" s="241">
        <f t="shared" si="23"/>
        <v>302.5</v>
      </c>
      <c r="N90" s="155"/>
      <c r="O90" s="157"/>
      <c r="P90" s="155"/>
      <c r="Q90" s="300"/>
      <c r="R90" s="7"/>
      <c r="S90" s="7"/>
    </row>
    <row r="91" spans="2:19" ht="15.75" x14ac:dyDescent="0.25">
      <c r="B91" s="267">
        <v>4</v>
      </c>
      <c r="C91" s="145" t="s">
        <v>4</v>
      </c>
      <c r="D91" s="23"/>
      <c r="E91" s="29"/>
      <c r="F91" s="37"/>
      <c r="G91" s="134">
        <v>6050</v>
      </c>
      <c r="H91" s="134"/>
      <c r="I91" s="134"/>
      <c r="J91" s="259">
        <f t="shared" si="22"/>
        <v>302.5</v>
      </c>
      <c r="K91" s="9"/>
      <c r="L91" s="154"/>
      <c r="M91" s="241">
        <f t="shared" si="23"/>
        <v>302.5</v>
      </c>
      <c r="N91" s="155"/>
      <c r="O91" s="155"/>
      <c r="P91" s="155"/>
      <c r="Q91" s="300"/>
      <c r="R91" s="7"/>
      <c r="S91" s="7"/>
    </row>
    <row r="92" spans="2:19" ht="15.75" x14ac:dyDescent="0.25">
      <c r="B92" s="267">
        <v>5</v>
      </c>
      <c r="C92" s="145" t="s">
        <v>5</v>
      </c>
      <c r="D92" s="23"/>
      <c r="E92" s="29"/>
      <c r="F92" s="37"/>
      <c r="G92" s="134">
        <v>6050</v>
      </c>
      <c r="H92" s="134"/>
      <c r="I92" s="134"/>
      <c r="J92" s="259">
        <f t="shared" si="22"/>
        <v>302.5</v>
      </c>
      <c r="K92" s="9"/>
      <c r="L92" s="154"/>
      <c r="M92" s="241">
        <f t="shared" si="23"/>
        <v>302.5</v>
      </c>
      <c r="N92" s="155"/>
      <c r="O92" s="155"/>
      <c r="P92" s="155"/>
      <c r="Q92" s="300"/>
      <c r="R92" s="7"/>
      <c r="S92" s="7"/>
    </row>
    <row r="93" spans="2:19" ht="15.75" x14ac:dyDescent="0.25">
      <c r="B93" s="267">
        <v>6</v>
      </c>
      <c r="C93" s="145" t="s">
        <v>103</v>
      </c>
      <c r="D93" s="23"/>
      <c r="E93" s="29"/>
      <c r="F93" s="37"/>
      <c r="G93" s="134">
        <v>21780</v>
      </c>
      <c r="H93" s="134"/>
      <c r="I93" s="134"/>
      <c r="J93" s="259">
        <f t="shared" si="22"/>
        <v>1089</v>
      </c>
      <c r="K93" s="9"/>
      <c r="L93" s="154"/>
      <c r="M93" s="241">
        <f t="shared" si="23"/>
        <v>1089</v>
      </c>
      <c r="N93" s="155"/>
      <c r="O93" s="155"/>
      <c r="P93" s="155"/>
      <c r="Q93" s="300"/>
      <c r="R93" s="7"/>
      <c r="S93" s="7"/>
    </row>
    <row r="94" spans="2:19" ht="15.75" x14ac:dyDescent="0.25">
      <c r="B94" s="267">
        <v>7</v>
      </c>
      <c r="C94" s="261" t="s">
        <v>36</v>
      </c>
      <c r="D94" s="23"/>
      <c r="E94" s="262"/>
      <c r="F94" s="37"/>
      <c r="G94" s="134">
        <v>6050</v>
      </c>
      <c r="H94" s="134"/>
      <c r="I94" s="134"/>
      <c r="J94" s="259">
        <f t="shared" si="22"/>
        <v>302.5</v>
      </c>
      <c r="K94" s="86"/>
      <c r="L94" s="154"/>
      <c r="M94" s="260">
        <f t="shared" si="23"/>
        <v>302.5</v>
      </c>
      <c r="N94" s="155"/>
      <c r="O94" s="155"/>
      <c r="P94" s="155"/>
      <c r="Q94" s="300"/>
      <c r="R94" s="7"/>
      <c r="S94" s="7"/>
    </row>
    <row r="95" spans="2:19" ht="15.75" x14ac:dyDescent="0.25">
      <c r="B95" s="267">
        <v>8</v>
      </c>
      <c r="C95" s="261" t="s">
        <v>43</v>
      </c>
      <c r="D95" s="23"/>
      <c r="E95" s="262"/>
      <c r="F95" s="37"/>
      <c r="G95" s="134">
        <v>8833</v>
      </c>
      <c r="H95" s="134"/>
      <c r="I95" s="134"/>
      <c r="J95" s="259">
        <f t="shared" si="22"/>
        <v>441.65000000000003</v>
      </c>
      <c r="K95" s="86"/>
      <c r="L95" s="154"/>
      <c r="M95" s="260">
        <f t="shared" si="23"/>
        <v>441.65000000000003</v>
      </c>
      <c r="N95" s="155"/>
      <c r="O95" s="155"/>
      <c r="P95" s="155"/>
      <c r="Q95" s="300"/>
      <c r="R95" s="7"/>
      <c r="S95" s="7"/>
    </row>
    <row r="96" spans="2:19" ht="16.5" thickBot="1" x14ac:dyDescent="0.3">
      <c r="B96" s="268">
        <v>9</v>
      </c>
      <c r="C96" s="263" t="s">
        <v>104</v>
      </c>
      <c r="D96" s="264"/>
      <c r="E96" s="265"/>
      <c r="F96" s="210"/>
      <c r="G96" s="134">
        <v>8833</v>
      </c>
      <c r="H96" s="134"/>
      <c r="I96" s="134"/>
      <c r="J96" s="266">
        <f t="shared" si="22"/>
        <v>441.65000000000003</v>
      </c>
      <c r="K96" s="86"/>
      <c r="L96" s="158"/>
      <c r="M96" s="242">
        <f t="shared" si="23"/>
        <v>441.65000000000003</v>
      </c>
      <c r="N96" s="159"/>
      <c r="O96" s="159"/>
      <c r="P96" s="159"/>
      <c r="Q96" s="301"/>
      <c r="R96" s="7"/>
      <c r="S96" s="7"/>
    </row>
    <row r="97" spans="2:19" ht="18" thickBot="1" x14ac:dyDescent="0.3">
      <c r="B97" s="115"/>
      <c r="C97" s="118"/>
      <c r="D97" s="119"/>
      <c r="E97" s="40">
        <f>SUM(E88:E96)</f>
        <v>0</v>
      </c>
      <c r="F97" s="40">
        <f>G44</f>
        <v>75746</v>
      </c>
      <c r="G97" s="41">
        <f>SUM(G88:G96)</f>
        <v>75746</v>
      </c>
      <c r="H97" s="41">
        <f>SUM(H88:H96)</f>
        <v>0</v>
      </c>
      <c r="I97" s="41">
        <f>G97*5%</f>
        <v>3787.3</v>
      </c>
      <c r="J97" s="41">
        <f>SUM(J88:J96)</f>
        <v>3787.3</v>
      </c>
      <c r="K97" s="87" t="s">
        <v>31</v>
      </c>
      <c r="L97" s="171">
        <f>G97*5%</f>
        <v>3787.3</v>
      </c>
      <c r="M97" s="82">
        <f>SUM(M88:M96)</f>
        <v>3787.3</v>
      </c>
      <c r="N97" s="171">
        <f>F97/1.21</f>
        <v>62600</v>
      </c>
      <c r="O97" s="172">
        <f>G97/1.21</f>
        <v>62600</v>
      </c>
      <c r="P97" s="163">
        <f>F97-G97</f>
        <v>0</v>
      </c>
      <c r="Q97" s="136" t="s">
        <v>65</v>
      </c>
      <c r="R97" s="164">
        <f>P86+P97</f>
        <v>0</v>
      </c>
      <c r="S97" s="165" t="s">
        <v>71</v>
      </c>
    </row>
    <row r="99" spans="2:19" ht="19.5" x14ac:dyDescent="0.25">
      <c r="B99" s="343" t="s">
        <v>106</v>
      </c>
      <c r="C99" s="343"/>
      <c r="D99" s="343"/>
      <c r="E99" s="343"/>
    </row>
    <row r="100" spans="2:19" ht="15.75" thickBot="1" x14ac:dyDescent="0.3">
      <c r="K100" s="252">
        <f>K95/18</f>
        <v>0</v>
      </c>
    </row>
    <row r="101" spans="2:19" ht="15.75" x14ac:dyDescent="0.25">
      <c r="B101" s="6">
        <v>1</v>
      </c>
      <c r="C101" s="144" t="s">
        <v>0</v>
      </c>
      <c r="D101" s="21"/>
      <c r="E101" s="33"/>
      <c r="F101" s="209"/>
      <c r="G101" s="133">
        <v>6050</v>
      </c>
      <c r="H101" s="133"/>
      <c r="I101" s="133"/>
      <c r="J101" s="133">
        <f>G101*5%</f>
        <v>302.5</v>
      </c>
      <c r="K101" s="85"/>
      <c r="L101" s="150"/>
      <c r="M101" s="240">
        <f>G101*5%</f>
        <v>302.5</v>
      </c>
      <c r="N101" s="151"/>
      <c r="O101" s="152"/>
      <c r="P101" s="153"/>
      <c r="Q101" s="299" t="s">
        <v>70</v>
      </c>
      <c r="R101" s="7"/>
      <c r="S101" s="7"/>
    </row>
    <row r="102" spans="2:19" ht="15.75" x14ac:dyDescent="0.25">
      <c r="B102" s="267">
        <v>2</v>
      </c>
      <c r="C102" s="145" t="s">
        <v>1</v>
      </c>
      <c r="D102" s="23"/>
      <c r="E102" s="29"/>
      <c r="F102" s="37"/>
      <c r="G102" s="134">
        <v>6050</v>
      </c>
      <c r="H102" s="134"/>
      <c r="I102" s="134"/>
      <c r="J102" s="259">
        <f t="shared" ref="J102:J109" si="24">G102*5%</f>
        <v>302.5</v>
      </c>
      <c r="K102" s="9"/>
      <c r="L102" s="154"/>
      <c r="M102" s="241">
        <f t="shared" ref="M102:M109" si="25">G102*5%</f>
        <v>302.5</v>
      </c>
      <c r="N102" s="155"/>
      <c r="O102" s="155"/>
      <c r="P102" s="156"/>
      <c r="Q102" s="300"/>
      <c r="R102" s="7"/>
      <c r="S102" s="7"/>
    </row>
    <row r="103" spans="2:19" ht="15.75" x14ac:dyDescent="0.25">
      <c r="B103" s="267">
        <v>3</v>
      </c>
      <c r="C103" s="145" t="s">
        <v>2</v>
      </c>
      <c r="D103" s="23"/>
      <c r="E103" s="29"/>
      <c r="F103" s="37"/>
      <c r="G103" s="134">
        <v>6050</v>
      </c>
      <c r="H103" s="134"/>
      <c r="I103" s="134"/>
      <c r="J103" s="259">
        <f t="shared" si="24"/>
        <v>302.5</v>
      </c>
      <c r="K103" s="9"/>
      <c r="L103" s="154"/>
      <c r="M103" s="241">
        <f t="shared" si="25"/>
        <v>302.5</v>
      </c>
      <c r="N103" s="155"/>
      <c r="O103" s="157"/>
      <c r="P103" s="155"/>
      <c r="Q103" s="300"/>
      <c r="R103" s="7"/>
      <c r="S103" s="7"/>
    </row>
    <row r="104" spans="2:19" ht="15.75" x14ac:dyDescent="0.25">
      <c r="B104" s="267">
        <v>4</v>
      </c>
      <c r="C104" s="145" t="s">
        <v>3</v>
      </c>
      <c r="D104" s="23"/>
      <c r="E104" s="29"/>
      <c r="F104" s="37"/>
      <c r="G104" s="134">
        <v>6050</v>
      </c>
      <c r="H104" s="134"/>
      <c r="I104" s="134"/>
      <c r="J104" s="259">
        <f t="shared" si="24"/>
        <v>302.5</v>
      </c>
      <c r="K104" s="9"/>
      <c r="L104" s="154"/>
      <c r="M104" s="241">
        <f t="shared" si="25"/>
        <v>302.5</v>
      </c>
      <c r="N104" s="155"/>
      <c r="O104" s="155"/>
      <c r="P104" s="155"/>
      <c r="Q104" s="300"/>
      <c r="R104" s="7"/>
      <c r="S104" s="7"/>
    </row>
    <row r="105" spans="2:19" ht="15.75" x14ac:dyDescent="0.25">
      <c r="B105" s="267">
        <v>5</v>
      </c>
      <c r="C105" s="145" t="s">
        <v>5</v>
      </c>
      <c r="D105" s="23"/>
      <c r="E105" s="29"/>
      <c r="F105" s="37"/>
      <c r="G105" s="134">
        <v>6050</v>
      </c>
      <c r="H105" s="134"/>
      <c r="I105" s="134"/>
      <c r="J105" s="259">
        <f t="shared" si="24"/>
        <v>302.5</v>
      </c>
      <c r="K105" s="9"/>
      <c r="L105" s="154"/>
      <c r="M105" s="241">
        <f t="shared" si="25"/>
        <v>302.5</v>
      </c>
      <c r="N105" s="155"/>
      <c r="O105" s="155"/>
      <c r="P105" s="155"/>
      <c r="Q105" s="300"/>
      <c r="R105" s="7"/>
      <c r="S105" s="7"/>
    </row>
    <row r="106" spans="2:19" ht="15.75" x14ac:dyDescent="0.25">
      <c r="B106" s="267">
        <v>6</v>
      </c>
      <c r="C106" s="261" t="s">
        <v>36</v>
      </c>
      <c r="D106" s="23"/>
      <c r="E106" s="262"/>
      <c r="F106" s="37"/>
      <c r="G106" s="134">
        <v>6050</v>
      </c>
      <c r="H106" s="134"/>
      <c r="I106" s="134"/>
      <c r="J106" s="259">
        <f t="shared" si="24"/>
        <v>302.5</v>
      </c>
      <c r="K106" s="86"/>
      <c r="L106" s="154"/>
      <c r="M106" s="260">
        <f t="shared" si="25"/>
        <v>302.5</v>
      </c>
      <c r="N106" s="155"/>
      <c r="O106" s="155"/>
      <c r="P106" s="155"/>
      <c r="Q106" s="300"/>
      <c r="R106" s="7"/>
      <c r="S106" s="7"/>
    </row>
    <row r="107" spans="2:19" ht="15.75" x14ac:dyDescent="0.25">
      <c r="B107" s="267">
        <v>7</v>
      </c>
      <c r="C107" s="261" t="s">
        <v>43</v>
      </c>
      <c r="D107" s="23"/>
      <c r="E107" s="262"/>
      <c r="F107" s="37"/>
      <c r="G107" s="134">
        <v>4840</v>
      </c>
      <c r="H107" s="134"/>
      <c r="I107" s="134"/>
      <c r="J107" s="259">
        <f t="shared" si="24"/>
        <v>242</v>
      </c>
      <c r="K107" s="86"/>
      <c r="L107" s="154"/>
      <c r="M107" s="260">
        <f t="shared" si="25"/>
        <v>242</v>
      </c>
      <c r="N107" s="155"/>
      <c r="O107" s="155"/>
      <c r="P107" s="155"/>
      <c r="Q107" s="300"/>
      <c r="R107" s="7"/>
      <c r="S107" s="7"/>
    </row>
    <row r="108" spans="2:19" ht="15.75" x14ac:dyDescent="0.25">
      <c r="B108" s="267">
        <v>8</v>
      </c>
      <c r="C108" s="269" t="s">
        <v>7</v>
      </c>
      <c r="D108" s="270"/>
      <c r="E108" s="271"/>
      <c r="F108" s="37"/>
      <c r="G108" s="134">
        <v>6050</v>
      </c>
      <c r="H108" s="134"/>
      <c r="I108" s="134"/>
      <c r="J108" s="272">
        <f t="shared" si="24"/>
        <v>302.5</v>
      </c>
      <c r="K108" s="86"/>
      <c r="L108" s="154"/>
      <c r="M108" s="260">
        <f t="shared" si="25"/>
        <v>302.5</v>
      </c>
      <c r="N108" s="155"/>
      <c r="O108" s="155"/>
      <c r="P108" s="155"/>
      <c r="Q108" s="300"/>
      <c r="R108" s="7"/>
      <c r="S108" s="7"/>
    </row>
    <row r="109" spans="2:19" ht="16.5" thickBot="1" x14ac:dyDescent="0.3">
      <c r="B109" s="267">
        <v>9</v>
      </c>
      <c r="C109" s="263" t="s">
        <v>104</v>
      </c>
      <c r="D109" s="264"/>
      <c r="E109" s="265"/>
      <c r="F109" s="210"/>
      <c r="G109" s="134">
        <v>6050</v>
      </c>
      <c r="H109" s="134"/>
      <c r="I109" s="134"/>
      <c r="J109" s="266">
        <f t="shared" si="24"/>
        <v>302.5</v>
      </c>
      <c r="K109" s="86"/>
      <c r="L109" s="158"/>
      <c r="M109" s="242">
        <f t="shared" si="25"/>
        <v>302.5</v>
      </c>
      <c r="N109" s="159"/>
      <c r="O109" s="159"/>
      <c r="P109" s="159"/>
      <c r="Q109" s="301"/>
      <c r="R109" s="7"/>
      <c r="S109" s="7"/>
    </row>
    <row r="110" spans="2:19" ht="18" thickBot="1" x14ac:dyDescent="0.3">
      <c r="B110" s="115"/>
      <c r="C110" s="118"/>
      <c r="D110" s="119"/>
      <c r="E110" s="40">
        <f>SUM(E101:E109)</f>
        <v>0</v>
      </c>
      <c r="F110" s="40">
        <f>G45</f>
        <v>53240</v>
      </c>
      <c r="G110" s="41">
        <f>SUM(G101:G109)</f>
        <v>53240</v>
      </c>
      <c r="H110" s="41">
        <f>SUM(H101:H109)</f>
        <v>0</v>
      </c>
      <c r="I110" s="41">
        <f>G110*5%</f>
        <v>2662</v>
      </c>
      <c r="J110" s="41">
        <f>SUM(J101:J109)</f>
        <v>2662</v>
      </c>
      <c r="K110" s="87" t="s">
        <v>31</v>
      </c>
      <c r="L110" s="171">
        <f>G110*5%</f>
        <v>2662</v>
      </c>
      <c r="M110" s="82">
        <f>SUM(M101:M109)</f>
        <v>2662</v>
      </c>
      <c r="N110" s="171">
        <f>F110/1.21</f>
        <v>44000</v>
      </c>
      <c r="O110" s="172">
        <f>G110/1.21</f>
        <v>44000</v>
      </c>
      <c r="P110" s="163">
        <f>F110-G110</f>
        <v>0</v>
      </c>
      <c r="Q110" s="136" t="s">
        <v>65</v>
      </c>
      <c r="R110" s="164">
        <f>P99+P110</f>
        <v>0</v>
      </c>
      <c r="S110" s="165" t="s">
        <v>71</v>
      </c>
    </row>
    <row r="112" spans="2:19" ht="19.5" x14ac:dyDescent="0.25">
      <c r="B112" s="343" t="s">
        <v>107</v>
      </c>
      <c r="C112" s="343"/>
      <c r="D112" s="343"/>
      <c r="E112" s="343"/>
    </row>
    <row r="113" spans="2:19" ht="15.75" thickBot="1" x14ac:dyDescent="0.3">
      <c r="K113" s="252">
        <f>K108/18</f>
        <v>0</v>
      </c>
    </row>
    <row r="114" spans="2:19" ht="15.75" x14ac:dyDescent="0.25">
      <c r="B114" s="6">
        <v>1</v>
      </c>
      <c r="C114" s="144" t="s">
        <v>0</v>
      </c>
      <c r="D114" s="21"/>
      <c r="E114" s="33"/>
      <c r="F114" s="209"/>
      <c r="G114" s="133">
        <v>60500</v>
      </c>
      <c r="H114" s="133"/>
      <c r="I114" s="133"/>
      <c r="J114" s="133">
        <f>G114*5%</f>
        <v>3025</v>
      </c>
      <c r="K114" s="85"/>
      <c r="L114" s="150"/>
      <c r="M114" s="240">
        <f>G114*5%</f>
        <v>3025</v>
      </c>
      <c r="N114" s="151"/>
      <c r="O114" s="152"/>
      <c r="P114" s="153"/>
      <c r="Q114" s="299" t="s">
        <v>70</v>
      </c>
      <c r="R114" s="7"/>
      <c r="S114" s="7"/>
    </row>
    <row r="115" spans="2:19" ht="15.75" x14ac:dyDescent="0.25">
      <c r="B115" s="267">
        <v>2</v>
      </c>
      <c r="C115" s="145" t="s">
        <v>1</v>
      </c>
      <c r="D115" s="23"/>
      <c r="E115" s="29"/>
      <c r="F115" s="37"/>
      <c r="G115" s="134">
        <v>87725</v>
      </c>
      <c r="H115" s="134"/>
      <c r="I115" s="134"/>
      <c r="J115" s="259">
        <f t="shared" ref="J115:J122" si="26">G115*5%</f>
        <v>4386.25</v>
      </c>
      <c r="K115" s="9"/>
      <c r="L115" s="154"/>
      <c r="M115" s="241">
        <f t="shared" ref="M115:M122" si="27">G115*5%</f>
        <v>4386.25</v>
      </c>
      <c r="N115" s="155"/>
      <c r="O115" s="155"/>
      <c r="P115" s="156"/>
      <c r="Q115" s="300"/>
      <c r="R115" s="7"/>
      <c r="S115" s="7"/>
    </row>
    <row r="116" spans="2:19" ht="15.75" x14ac:dyDescent="0.25">
      <c r="B116" s="267">
        <v>4</v>
      </c>
      <c r="C116" s="145" t="s">
        <v>3</v>
      </c>
      <c r="D116" s="273" t="s">
        <v>108</v>
      </c>
      <c r="E116" s="29"/>
      <c r="F116" s="37"/>
      <c r="G116" s="134">
        <v>48400</v>
      </c>
      <c r="H116" s="134"/>
      <c r="I116" s="134"/>
      <c r="J116" s="259">
        <f t="shared" si="26"/>
        <v>2420</v>
      </c>
      <c r="K116" s="9"/>
      <c r="L116" s="154"/>
      <c r="M116" s="241">
        <f t="shared" si="27"/>
        <v>2420</v>
      </c>
      <c r="N116" s="155"/>
      <c r="O116" s="155"/>
      <c r="P116" s="155"/>
      <c r="Q116" s="300"/>
      <c r="R116" s="7"/>
      <c r="S116" s="7"/>
    </row>
    <row r="117" spans="2:19" ht="15.75" x14ac:dyDescent="0.25">
      <c r="B117" s="267"/>
      <c r="C117" s="145" t="s">
        <v>4</v>
      </c>
      <c r="D117" s="273" t="s">
        <v>108</v>
      </c>
      <c r="E117" s="29"/>
      <c r="F117" s="37"/>
      <c r="G117" s="134">
        <v>48400</v>
      </c>
      <c r="H117" s="134"/>
      <c r="I117" s="134"/>
      <c r="J117" s="259">
        <f t="shared" si="26"/>
        <v>2420</v>
      </c>
      <c r="K117" s="9"/>
      <c r="L117" s="154"/>
      <c r="M117" s="241"/>
      <c r="N117" s="155"/>
      <c r="O117" s="155"/>
      <c r="P117" s="155"/>
      <c r="Q117" s="300"/>
      <c r="R117" s="7"/>
      <c r="S117" s="7"/>
    </row>
    <row r="118" spans="2:19" ht="15.75" x14ac:dyDescent="0.25">
      <c r="B118" s="267">
        <v>5</v>
      </c>
      <c r="C118" s="145" t="s">
        <v>5</v>
      </c>
      <c r="D118" s="23"/>
      <c r="E118" s="29"/>
      <c r="F118" s="37"/>
      <c r="G118" s="134">
        <v>60500</v>
      </c>
      <c r="H118" s="134"/>
      <c r="I118" s="134"/>
      <c r="J118" s="259">
        <f t="shared" si="26"/>
        <v>3025</v>
      </c>
      <c r="K118" s="9"/>
      <c r="L118" s="154"/>
      <c r="M118" s="241">
        <f t="shared" si="27"/>
        <v>3025</v>
      </c>
      <c r="N118" s="155"/>
      <c r="O118" s="155"/>
      <c r="P118" s="155"/>
      <c r="Q118" s="300"/>
      <c r="R118" s="7"/>
      <c r="S118" s="7"/>
    </row>
    <row r="119" spans="2:19" ht="15.75" x14ac:dyDescent="0.25">
      <c r="B119" s="267"/>
      <c r="C119" s="261" t="s">
        <v>6</v>
      </c>
      <c r="D119" s="23"/>
      <c r="E119" s="29"/>
      <c r="F119" s="37"/>
      <c r="G119" s="134">
        <v>88330</v>
      </c>
      <c r="H119" s="134"/>
      <c r="I119" s="134"/>
      <c r="J119" s="259">
        <f t="shared" si="26"/>
        <v>4416.5</v>
      </c>
      <c r="K119" s="86"/>
      <c r="L119" s="154"/>
      <c r="M119" s="260">
        <f t="shared" si="27"/>
        <v>4416.5</v>
      </c>
      <c r="N119" s="155"/>
      <c r="O119" s="155"/>
      <c r="P119" s="155"/>
      <c r="Q119" s="300"/>
      <c r="R119" s="7"/>
      <c r="S119" s="7"/>
    </row>
    <row r="120" spans="2:19" ht="15.75" x14ac:dyDescent="0.25">
      <c r="B120" s="267">
        <v>6</v>
      </c>
      <c r="C120" s="261" t="s">
        <v>36</v>
      </c>
      <c r="D120" s="23"/>
      <c r="E120" s="262"/>
      <c r="F120" s="37"/>
      <c r="G120" s="134">
        <v>60500</v>
      </c>
      <c r="H120" s="134"/>
      <c r="I120" s="134"/>
      <c r="J120" s="259">
        <f t="shared" si="26"/>
        <v>3025</v>
      </c>
      <c r="K120" s="86"/>
      <c r="L120" s="154"/>
      <c r="M120" s="260">
        <f t="shared" si="27"/>
        <v>3025</v>
      </c>
      <c r="N120" s="155"/>
      <c r="O120" s="155"/>
      <c r="P120" s="155"/>
      <c r="Q120" s="300"/>
      <c r="R120" s="7"/>
      <c r="S120" s="7"/>
    </row>
    <row r="121" spans="2:19" ht="15.75" x14ac:dyDescent="0.25">
      <c r="B121" s="267">
        <v>8</v>
      </c>
      <c r="C121" s="269" t="s">
        <v>97</v>
      </c>
      <c r="D121" s="270"/>
      <c r="E121" s="271"/>
      <c r="F121" s="37"/>
      <c r="G121" s="134">
        <v>60500</v>
      </c>
      <c r="H121" s="134"/>
      <c r="I121" s="134"/>
      <c r="J121" s="272">
        <f t="shared" si="26"/>
        <v>3025</v>
      </c>
      <c r="K121" s="86"/>
      <c r="L121" s="154"/>
      <c r="M121" s="260">
        <f t="shared" si="27"/>
        <v>3025</v>
      </c>
      <c r="N121" s="155"/>
      <c r="O121" s="155"/>
      <c r="P121" s="155"/>
      <c r="Q121" s="300"/>
      <c r="R121" s="7"/>
      <c r="S121" s="7"/>
    </row>
    <row r="122" spans="2:19" ht="16.5" thickBot="1" x14ac:dyDescent="0.3">
      <c r="B122" s="267">
        <v>9</v>
      </c>
      <c r="C122" s="263" t="s">
        <v>109</v>
      </c>
      <c r="D122" s="264"/>
      <c r="E122" s="265"/>
      <c r="F122" s="210"/>
      <c r="G122" s="134">
        <v>60500</v>
      </c>
      <c r="H122" s="134"/>
      <c r="I122" s="134"/>
      <c r="J122" s="266">
        <f t="shared" si="26"/>
        <v>3025</v>
      </c>
      <c r="K122" s="86"/>
      <c r="L122" s="158"/>
      <c r="M122" s="242">
        <f t="shared" si="27"/>
        <v>3025</v>
      </c>
      <c r="N122" s="159"/>
      <c r="O122" s="159"/>
      <c r="P122" s="159"/>
      <c r="Q122" s="301"/>
      <c r="R122" s="7"/>
      <c r="S122" s="7"/>
    </row>
    <row r="123" spans="2:19" ht="18" thickBot="1" x14ac:dyDescent="0.3">
      <c r="B123" s="115"/>
      <c r="C123" s="118"/>
      <c r="D123" s="119"/>
      <c r="E123" s="40">
        <f>SUM(E114:E122)</f>
        <v>0</v>
      </c>
      <c r="F123" s="40">
        <f>G46</f>
        <v>575355</v>
      </c>
      <c r="G123" s="41">
        <f>SUM(G114:G122)</f>
        <v>575355</v>
      </c>
      <c r="H123" s="41">
        <f>SUM(H114:H122)</f>
        <v>0</v>
      </c>
      <c r="I123" s="41">
        <f>G123*5%</f>
        <v>28767.75</v>
      </c>
      <c r="J123" s="41">
        <f>SUM(J114:J122)</f>
        <v>28767.75</v>
      </c>
      <c r="K123" s="87" t="s">
        <v>31</v>
      </c>
      <c r="L123" s="171">
        <f>G123*5%</f>
        <v>28767.75</v>
      </c>
      <c r="M123" s="82">
        <f>SUM(M114:M122)</f>
        <v>26347.75</v>
      </c>
      <c r="N123" s="171">
        <f>F123/1.21</f>
        <v>475500</v>
      </c>
      <c r="O123" s="172">
        <f>G123/1.21</f>
        <v>475500</v>
      </c>
      <c r="P123" s="163">
        <f>F123-G123</f>
        <v>0</v>
      </c>
      <c r="Q123" s="136" t="s">
        <v>65</v>
      </c>
      <c r="R123" s="164">
        <f>P112+P123</f>
        <v>0</v>
      </c>
      <c r="S123" s="165" t="s">
        <v>71</v>
      </c>
    </row>
    <row r="125" spans="2:19" ht="19.5" x14ac:dyDescent="0.25">
      <c r="B125" s="343" t="s">
        <v>110</v>
      </c>
      <c r="C125" s="343"/>
      <c r="D125" s="343"/>
      <c r="E125" s="343"/>
    </row>
    <row r="126" spans="2:19" ht="15.75" thickBot="1" x14ac:dyDescent="0.3">
      <c r="K126" s="252">
        <f>K121/18</f>
        <v>0</v>
      </c>
    </row>
    <row r="127" spans="2:19" ht="15.75" x14ac:dyDescent="0.25">
      <c r="B127" s="6">
        <v>1</v>
      </c>
      <c r="C127" s="144" t="s">
        <v>0</v>
      </c>
      <c r="D127" s="21"/>
      <c r="E127" s="33"/>
      <c r="F127" s="209"/>
      <c r="G127" s="133">
        <v>7260</v>
      </c>
      <c r="H127" s="133"/>
      <c r="I127" s="133"/>
      <c r="J127" s="133">
        <f>G127*5%</f>
        <v>363</v>
      </c>
      <c r="K127" s="85"/>
      <c r="L127" s="150"/>
      <c r="M127" s="240">
        <f>G127*5%</f>
        <v>363</v>
      </c>
      <c r="N127" s="151"/>
      <c r="O127" s="152"/>
      <c r="P127" s="153"/>
      <c r="Q127" s="299" t="s">
        <v>70</v>
      </c>
      <c r="R127" s="7"/>
      <c r="S127" s="7"/>
    </row>
    <row r="128" spans="2:19" ht="15.75" x14ac:dyDescent="0.25">
      <c r="B128" s="8">
        <v>2</v>
      </c>
      <c r="C128" s="145" t="s">
        <v>1</v>
      </c>
      <c r="D128" s="23"/>
      <c r="E128" s="29"/>
      <c r="F128" s="37"/>
      <c r="G128" s="134">
        <v>8470</v>
      </c>
      <c r="H128" s="134"/>
      <c r="I128" s="134"/>
      <c r="J128" s="259">
        <f t="shared" ref="J128:J137" si="28">G128*5%</f>
        <v>423.5</v>
      </c>
      <c r="K128" s="9"/>
      <c r="L128" s="154"/>
      <c r="M128" s="241">
        <f t="shared" ref="M128:M137" si="29">G128*5%</f>
        <v>423.5</v>
      </c>
      <c r="N128" s="155"/>
      <c r="O128" s="155"/>
      <c r="P128" s="156"/>
      <c r="Q128" s="300"/>
      <c r="R128" s="7"/>
      <c r="S128" s="7"/>
    </row>
    <row r="129" spans="2:19" ht="15.75" x14ac:dyDescent="0.25">
      <c r="B129" s="8">
        <v>3</v>
      </c>
      <c r="C129" s="145" t="s">
        <v>2</v>
      </c>
      <c r="D129" s="23"/>
      <c r="E129" s="29"/>
      <c r="F129" s="37"/>
      <c r="G129" s="134">
        <v>7260</v>
      </c>
      <c r="H129" s="134"/>
      <c r="I129" s="134"/>
      <c r="J129" s="259">
        <f t="shared" si="28"/>
        <v>363</v>
      </c>
      <c r="K129" s="9"/>
      <c r="L129" s="154"/>
      <c r="M129" s="241">
        <f t="shared" si="29"/>
        <v>363</v>
      </c>
      <c r="N129" s="155"/>
      <c r="O129" s="155"/>
      <c r="P129" s="156"/>
      <c r="Q129" s="300"/>
      <c r="R129" s="7"/>
      <c r="S129" s="7"/>
    </row>
    <row r="130" spans="2:19" ht="15.75" x14ac:dyDescent="0.25">
      <c r="B130" s="8">
        <v>4</v>
      </c>
      <c r="C130" s="145" t="s">
        <v>3</v>
      </c>
      <c r="D130" s="23"/>
      <c r="E130" s="29"/>
      <c r="F130" s="37"/>
      <c r="G130" s="134">
        <v>7260</v>
      </c>
      <c r="H130" s="134"/>
      <c r="I130" s="134"/>
      <c r="J130" s="259">
        <f t="shared" si="28"/>
        <v>363</v>
      </c>
      <c r="K130" s="9"/>
      <c r="L130" s="154"/>
      <c r="M130" s="241">
        <f t="shared" si="29"/>
        <v>363</v>
      </c>
      <c r="N130" s="155"/>
      <c r="O130" s="157"/>
      <c r="P130" s="155"/>
      <c r="Q130" s="300"/>
      <c r="R130" s="7"/>
      <c r="S130" s="7"/>
    </row>
    <row r="131" spans="2:19" ht="15.75" x14ac:dyDescent="0.25">
      <c r="B131" s="8">
        <v>5</v>
      </c>
      <c r="C131" s="145" t="s">
        <v>4</v>
      </c>
      <c r="D131" s="23"/>
      <c r="E131" s="29"/>
      <c r="F131" s="37"/>
      <c r="G131" s="134">
        <v>7260</v>
      </c>
      <c r="H131" s="134"/>
      <c r="I131" s="134"/>
      <c r="J131" s="259">
        <f t="shared" si="28"/>
        <v>363</v>
      </c>
      <c r="K131" s="9"/>
      <c r="L131" s="154"/>
      <c r="M131" s="241">
        <f t="shared" si="29"/>
        <v>363</v>
      </c>
      <c r="N131" s="155"/>
      <c r="O131" s="155"/>
      <c r="P131" s="155"/>
      <c r="Q131" s="300"/>
      <c r="R131" s="7"/>
      <c r="S131" s="7"/>
    </row>
    <row r="132" spans="2:19" ht="15.75" x14ac:dyDescent="0.25">
      <c r="B132" s="8">
        <v>6</v>
      </c>
      <c r="C132" s="145" t="s">
        <v>5</v>
      </c>
      <c r="D132" s="23"/>
      <c r="E132" s="29"/>
      <c r="F132" s="37"/>
      <c r="G132" s="134">
        <v>7260</v>
      </c>
      <c r="H132" s="134"/>
      <c r="I132" s="134"/>
      <c r="J132" s="259">
        <f t="shared" si="28"/>
        <v>363</v>
      </c>
      <c r="K132" s="9"/>
      <c r="L132" s="154"/>
      <c r="M132" s="241">
        <f t="shared" si="29"/>
        <v>363</v>
      </c>
      <c r="N132" s="155"/>
      <c r="O132" s="155"/>
      <c r="P132" s="155"/>
      <c r="Q132" s="300"/>
      <c r="R132" s="7"/>
      <c r="S132" s="7"/>
    </row>
    <row r="133" spans="2:19" ht="15.75" x14ac:dyDescent="0.25">
      <c r="B133" s="8">
        <v>7</v>
      </c>
      <c r="C133" s="145" t="s">
        <v>103</v>
      </c>
      <c r="D133" s="23"/>
      <c r="E133" s="29"/>
      <c r="F133" s="37"/>
      <c r="G133" s="134">
        <v>27225</v>
      </c>
      <c r="H133" s="134"/>
      <c r="I133" s="134"/>
      <c r="J133" s="259">
        <f t="shared" si="28"/>
        <v>1361.25</v>
      </c>
      <c r="K133" s="9"/>
      <c r="L133" s="154"/>
      <c r="M133" s="241">
        <f t="shared" si="29"/>
        <v>1361.25</v>
      </c>
      <c r="N133" s="155"/>
      <c r="O133" s="155"/>
      <c r="P133" s="155"/>
      <c r="Q133" s="300"/>
      <c r="R133" s="7"/>
      <c r="S133" s="7"/>
    </row>
    <row r="134" spans="2:19" ht="15.75" x14ac:dyDescent="0.25">
      <c r="B134" s="8">
        <v>8</v>
      </c>
      <c r="C134" s="145" t="s">
        <v>6</v>
      </c>
      <c r="D134" s="23"/>
      <c r="E134" s="29"/>
      <c r="F134" s="37"/>
      <c r="G134" s="134">
        <v>7260</v>
      </c>
      <c r="H134" s="134"/>
      <c r="I134" s="134"/>
      <c r="J134" s="259">
        <f t="shared" si="28"/>
        <v>363</v>
      </c>
      <c r="K134" s="9"/>
      <c r="L134" s="154"/>
      <c r="M134" s="241">
        <f t="shared" si="29"/>
        <v>363</v>
      </c>
      <c r="N134" s="155"/>
      <c r="O134" s="155"/>
      <c r="P134" s="155"/>
      <c r="Q134" s="300"/>
      <c r="R134" s="7"/>
      <c r="S134" s="7"/>
    </row>
    <row r="135" spans="2:19" ht="15.75" x14ac:dyDescent="0.25">
      <c r="B135" s="8">
        <v>9</v>
      </c>
      <c r="C135" s="261" t="s">
        <v>36</v>
      </c>
      <c r="D135" s="23"/>
      <c r="E135" s="262"/>
      <c r="F135" s="37"/>
      <c r="G135" s="134">
        <v>7260</v>
      </c>
      <c r="H135" s="134"/>
      <c r="I135" s="134"/>
      <c r="J135" s="259">
        <f t="shared" si="28"/>
        <v>363</v>
      </c>
      <c r="K135" s="86"/>
      <c r="L135" s="154"/>
      <c r="M135" s="260">
        <f t="shared" si="29"/>
        <v>363</v>
      </c>
      <c r="N135" s="155"/>
      <c r="O135" s="155"/>
      <c r="P135" s="155"/>
      <c r="Q135" s="300"/>
      <c r="R135" s="7"/>
      <c r="S135" s="7"/>
    </row>
    <row r="136" spans="2:19" ht="15.75" x14ac:dyDescent="0.25">
      <c r="B136" s="8">
        <v>10</v>
      </c>
      <c r="C136" s="261" t="s">
        <v>43</v>
      </c>
      <c r="D136" s="23"/>
      <c r="E136" s="262"/>
      <c r="F136" s="37"/>
      <c r="G136" s="134">
        <v>8470</v>
      </c>
      <c r="H136" s="134"/>
      <c r="I136" s="134"/>
      <c r="J136" s="259">
        <f t="shared" si="28"/>
        <v>423.5</v>
      </c>
      <c r="K136" s="86"/>
      <c r="L136" s="154"/>
      <c r="M136" s="260">
        <f t="shared" si="29"/>
        <v>423.5</v>
      </c>
      <c r="N136" s="155"/>
      <c r="O136" s="155"/>
      <c r="P136" s="155"/>
      <c r="Q136" s="300"/>
      <c r="R136" s="7"/>
      <c r="S136" s="7"/>
    </row>
    <row r="137" spans="2:19" ht="16.5" thickBot="1" x14ac:dyDescent="0.3">
      <c r="B137" s="8">
        <v>11</v>
      </c>
      <c r="C137" s="261" t="s">
        <v>7</v>
      </c>
      <c r="D137" s="23"/>
      <c r="E137" s="262"/>
      <c r="F137" s="37"/>
      <c r="G137" s="134">
        <v>7260</v>
      </c>
      <c r="H137" s="134"/>
      <c r="I137" s="134"/>
      <c r="J137" s="259">
        <f t="shared" si="28"/>
        <v>363</v>
      </c>
      <c r="K137" s="86"/>
      <c r="L137" s="154"/>
      <c r="M137" s="260">
        <f t="shared" si="29"/>
        <v>363</v>
      </c>
      <c r="N137" s="155"/>
      <c r="O137" s="155"/>
      <c r="P137" s="155"/>
      <c r="Q137" s="300"/>
      <c r="R137" s="7"/>
      <c r="S137" s="7"/>
    </row>
    <row r="138" spans="2:19" ht="18" thickBot="1" x14ac:dyDescent="0.3">
      <c r="B138" s="115"/>
      <c r="C138" s="118"/>
      <c r="D138" s="119"/>
      <c r="E138" s="40">
        <f>SUM(E127:E137)</f>
        <v>0</v>
      </c>
      <c r="F138" s="40">
        <f>G47</f>
        <v>102245</v>
      </c>
      <c r="G138" s="41">
        <f>SUM(G127:G137)</f>
        <v>102245</v>
      </c>
      <c r="H138" s="41">
        <f>SUM(H127:H137)</f>
        <v>0</v>
      </c>
      <c r="I138" s="41">
        <f>G138*5%</f>
        <v>5112.25</v>
      </c>
      <c r="J138" s="41">
        <f>SUM(J127:J137)</f>
        <v>5112.25</v>
      </c>
      <c r="K138" s="87" t="s">
        <v>31</v>
      </c>
      <c r="L138" s="171">
        <f>G138*5%</f>
        <v>5112.25</v>
      </c>
      <c r="M138" s="82">
        <f>SUM(M127:M137)</f>
        <v>5112.25</v>
      </c>
      <c r="N138" s="171">
        <f>F138/1.21</f>
        <v>84500</v>
      </c>
      <c r="O138" s="172">
        <f>G138/1.21</f>
        <v>84500</v>
      </c>
      <c r="P138" s="163">
        <f>F138-G138</f>
        <v>0</v>
      </c>
      <c r="Q138" s="136" t="s">
        <v>65</v>
      </c>
      <c r="R138" s="164">
        <f>P125+P138</f>
        <v>0</v>
      </c>
      <c r="S138" s="165" t="s">
        <v>71</v>
      </c>
    </row>
    <row r="140" spans="2:19" ht="19.5" x14ac:dyDescent="0.25">
      <c r="B140" s="343" t="s">
        <v>111</v>
      </c>
      <c r="C140" s="343"/>
      <c r="D140" s="343"/>
      <c r="E140" s="343"/>
    </row>
    <row r="141" spans="2:19" ht="15.75" thickBot="1" x14ac:dyDescent="0.3">
      <c r="K141" s="252">
        <f>K136/18</f>
        <v>0</v>
      </c>
    </row>
    <row r="142" spans="2:19" ht="15.75" x14ac:dyDescent="0.25">
      <c r="B142" s="274">
        <v>1</v>
      </c>
      <c r="C142" s="144" t="s">
        <v>103</v>
      </c>
      <c r="D142" s="21"/>
      <c r="E142" s="33"/>
      <c r="F142" s="209"/>
      <c r="G142" s="133">
        <v>89056</v>
      </c>
      <c r="H142" s="133"/>
      <c r="I142" s="133"/>
      <c r="J142" s="133">
        <f>G142*5%</f>
        <v>4452.8</v>
      </c>
      <c r="K142" s="85"/>
      <c r="L142" s="150"/>
      <c r="M142" s="240">
        <f>G142*5%</f>
        <v>4452.8</v>
      </c>
      <c r="N142" s="151"/>
      <c r="O142" s="152"/>
      <c r="P142" s="153"/>
      <c r="Q142" s="299" t="s">
        <v>70</v>
      </c>
      <c r="R142" s="7"/>
      <c r="S142" s="7"/>
    </row>
    <row r="143" spans="2:19" ht="15.75" x14ac:dyDescent="0.25">
      <c r="B143" s="267">
        <v>2</v>
      </c>
      <c r="C143" s="145" t="s">
        <v>7</v>
      </c>
      <c r="D143" s="23"/>
      <c r="E143" s="29"/>
      <c r="F143" s="37"/>
      <c r="G143" s="134">
        <v>28798</v>
      </c>
      <c r="H143" s="134"/>
      <c r="I143" s="134"/>
      <c r="J143" s="259">
        <f t="shared" ref="J143:J144" si="30">G143*5%</f>
        <v>1439.9</v>
      </c>
      <c r="K143" s="9"/>
      <c r="L143" s="154"/>
      <c r="M143" s="241">
        <f t="shared" ref="M143:M144" si="31">G143*5%</f>
        <v>1439.9</v>
      </c>
      <c r="N143" s="155"/>
      <c r="O143" s="155"/>
      <c r="P143" s="155"/>
      <c r="Q143" s="300"/>
      <c r="R143" s="7"/>
      <c r="S143" s="7"/>
    </row>
    <row r="144" spans="2:19" ht="16.5" thickBot="1" x14ac:dyDescent="0.3">
      <c r="B144" s="8">
        <v>3</v>
      </c>
      <c r="C144" s="145" t="s">
        <v>112</v>
      </c>
      <c r="D144" s="23"/>
      <c r="E144" s="29"/>
      <c r="F144" s="37"/>
      <c r="G144" s="134">
        <v>111320</v>
      </c>
      <c r="H144" s="134"/>
      <c r="I144" s="134"/>
      <c r="J144" s="259">
        <f t="shared" si="30"/>
        <v>5566</v>
      </c>
      <c r="K144" s="9"/>
      <c r="L144" s="154"/>
      <c r="M144" s="241">
        <f t="shared" si="31"/>
        <v>5566</v>
      </c>
      <c r="N144" s="155"/>
      <c r="O144" s="155"/>
      <c r="P144" s="155"/>
      <c r="Q144" s="300"/>
      <c r="R144" s="7"/>
      <c r="S144" s="7"/>
    </row>
    <row r="145" spans="2:19" ht="18" thickBot="1" x14ac:dyDescent="0.3">
      <c r="B145" s="115"/>
      <c r="C145" s="118"/>
      <c r="D145" s="119"/>
      <c r="E145" s="40">
        <f>SUM(E142:E144)</f>
        <v>0</v>
      </c>
      <c r="F145" s="40">
        <f>G48</f>
        <v>229174</v>
      </c>
      <c r="G145" s="41">
        <f>SUM(G142:G144)</f>
        <v>229174</v>
      </c>
      <c r="H145" s="41">
        <f>SUM(H142:H144)</f>
        <v>0</v>
      </c>
      <c r="I145" s="41">
        <f>G145*5%</f>
        <v>11458.7</v>
      </c>
      <c r="J145" s="41">
        <f>SUM(J142:J144)</f>
        <v>11458.7</v>
      </c>
      <c r="K145" s="87" t="s">
        <v>31</v>
      </c>
      <c r="L145" s="171">
        <f>G145*5%</f>
        <v>11458.7</v>
      </c>
      <c r="M145" s="82">
        <f>SUM(M142:M144)</f>
        <v>11458.7</v>
      </c>
      <c r="N145" s="171">
        <f>F145/1.21</f>
        <v>189400</v>
      </c>
      <c r="O145" s="172">
        <f>G145/1.21</f>
        <v>189400</v>
      </c>
      <c r="P145" s="163">
        <f>F145-G145</f>
        <v>0</v>
      </c>
      <c r="Q145" s="136" t="s">
        <v>65</v>
      </c>
      <c r="R145" s="164">
        <f>P140+P145</f>
        <v>0</v>
      </c>
      <c r="S145" s="165" t="s">
        <v>71</v>
      </c>
    </row>
    <row r="149" spans="2:19" ht="19.5" x14ac:dyDescent="0.25">
      <c r="B149" s="343" t="s">
        <v>113</v>
      </c>
      <c r="C149" s="343"/>
      <c r="D149" s="343"/>
      <c r="E149" s="343"/>
    </row>
    <row r="150" spans="2:19" ht="30.75" thickBot="1" x14ac:dyDescent="0.3">
      <c r="G150" s="1" t="s">
        <v>114</v>
      </c>
      <c r="H150" s="280" t="s">
        <v>115</v>
      </c>
      <c r="I150" s="281" t="s">
        <v>116</v>
      </c>
      <c r="J150" s="281" t="s">
        <v>117</v>
      </c>
      <c r="K150" s="252" t="e">
        <f>K145/18</f>
        <v>#VALUE!</v>
      </c>
    </row>
    <row r="151" spans="2:19" ht="15.75" x14ac:dyDescent="0.25">
      <c r="B151" s="6">
        <v>1</v>
      </c>
      <c r="C151" s="144" t="s">
        <v>0</v>
      </c>
      <c r="D151" s="21"/>
      <c r="E151" s="33"/>
      <c r="F151" s="209"/>
      <c r="G151" s="286">
        <f>G56+G71+G88+G101+G114+G127</f>
        <v>111562</v>
      </c>
      <c r="H151" s="282">
        <f t="shared" ref="H151:H168" si="32">G151*5%</f>
        <v>5578.1</v>
      </c>
      <c r="I151" s="282">
        <f>J9+J14</f>
        <v>7290.25</v>
      </c>
      <c r="J151" s="283">
        <f t="shared" ref="J151:J168" si="33">H151+I151+7500</f>
        <v>20368.349999999999</v>
      </c>
      <c r="K151" s="85"/>
      <c r="L151" s="150"/>
      <c r="M151" s="240">
        <f>G151*5%</f>
        <v>5578.1</v>
      </c>
      <c r="N151" s="151"/>
      <c r="O151" s="152"/>
      <c r="P151" s="153"/>
      <c r="Q151" s="299" t="s">
        <v>70</v>
      </c>
      <c r="R151" s="7"/>
      <c r="S151" s="7"/>
    </row>
    <row r="152" spans="2:19" ht="15.75" x14ac:dyDescent="0.25">
      <c r="B152" s="8">
        <v>2</v>
      </c>
      <c r="C152" s="145" t="s">
        <v>1</v>
      </c>
      <c r="D152" s="23"/>
      <c r="E152" s="29"/>
      <c r="F152" s="37"/>
      <c r="G152" s="287">
        <f>G57+G72+G89+G102+G115+G128</f>
        <v>152823</v>
      </c>
      <c r="H152" s="275">
        <f t="shared" si="32"/>
        <v>7641.1500000000005</v>
      </c>
      <c r="I152" s="27">
        <f>J9+J18+J35</f>
        <v>13340.25</v>
      </c>
      <c r="J152" s="284">
        <f t="shared" si="33"/>
        <v>28481.4</v>
      </c>
      <c r="K152" s="9"/>
      <c r="L152" s="154"/>
      <c r="M152" s="241">
        <f t="shared" ref="M152:M168" si="34">G152*5%</f>
        <v>7641.1500000000005</v>
      </c>
      <c r="N152" s="155"/>
      <c r="O152" s="155"/>
      <c r="P152" s="156"/>
      <c r="Q152" s="300"/>
      <c r="R152" s="7"/>
      <c r="S152" s="7"/>
    </row>
    <row r="153" spans="2:19" ht="15.75" x14ac:dyDescent="0.25">
      <c r="B153" s="8">
        <v>3</v>
      </c>
      <c r="C153" s="145" t="s">
        <v>2</v>
      </c>
      <c r="D153" s="23"/>
      <c r="E153" s="29"/>
      <c r="F153" s="37"/>
      <c r="G153" s="287">
        <f>G58+G73+G103+G129</f>
        <v>49610</v>
      </c>
      <c r="H153" s="275">
        <f t="shared" si="32"/>
        <v>2480.5</v>
      </c>
      <c r="I153" s="27">
        <f>J9+J58+J73+J103+J129</f>
        <v>7048.25</v>
      </c>
      <c r="J153" s="284">
        <f t="shared" si="33"/>
        <v>17028.75</v>
      </c>
      <c r="K153" s="9"/>
      <c r="L153" s="154"/>
      <c r="M153" s="241">
        <f t="shared" si="34"/>
        <v>2480.5</v>
      </c>
      <c r="N153" s="155"/>
      <c r="O153" s="155"/>
      <c r="P153" s="156"/>
      <c r="Q153" s="300"/>
      <c r="R153" s="7"/>
      <c r="S153" s="7"/>
    </row>
    <row r="154" spans="2:19" ht="15.75" x14ac:dyDescent="0.25">
      <c r="B154" s="8">
        <v>4</v>
      </c>
      <c r="C154" s="145" t="s">
        <v>96</v>
      </c>
      <c r="D154" s="23"/>
      <c r="E154" s="29"/>
      <c r="F154" s="37"/>
      <c r="G154" s="287">
        <f>G59+G74</f>
        <v>171820</v>
      </c>
      <c r="H154" s="275">
        <f t="shared" si="32"/>
        <v>8591</v>
      </c>
      <c r="I154" s="27">
        <f>J9+J16</f>
        <v>7290.25</v>
      </c>
      <c r="J154" s="284">
        <f t="shared" si="33"/>
        <v>23381.25</v>
      </c>
      <c r="K154" s="9"/>
      <c r="L154" s="154"/>
      <c r="M154" s="241">
        <f t="shared" si="34"/>
        <v>8591</v>
      </c>
      <c r="N154" s="155"/>
      <c r="O154" s="155"/>
      <c r="P154" s="155"/>
      <c r="Q154" s="300"/>
      <c r="R154" s="7"/>
      <c r="S154" s="7"/>
    </row>
    <row r="155" spans="2:19" ht="15.75" x14ac:dyDescent="0.25">
      <c r="B155" s="8">
        <v>5</v>
      </c>
      <c r="C155" s="145" t="s">
        <v>98</v>
      </c>
      <c r="D155" s="23"/>
      <c r="E155" s="29"/>
      <c r="F155" s="37"/>
      <c r="G155" s="287">
        <f>G60</f>
        <v>14520</v>
      </c>
      <c r="H155" s="275">
        <f t="shared" si="32"/>
        <v>726</v>
      </c>
      <c r="I155" s="27">
        <f>J9</f>
        <v>4567.75</v>
      </c>
      <c r="J155" s="284">
        <f t="shared" si="33"/>
        <v>12793.75</v>
      </c>
      <c r="K155" s="9"/>
      <c r="L155" s="154"/>
      <c r="M155" s="241"/>
      <c r="N155" s="155"/>
      <c r="O155" s="155"/>
      <c r="P155" s="155"/>
      <c r="Q155" s="300"/>
      <c r="R155" s="7"/>
      <c r="S155" s="7"/>
    </row>
    <row r="156" spans="2:19" ht="15.75" x14ac:dyDescent="0.25">
      <c r="B156" s="8">
        <v>6</v>
      </c>
      <c r="C156" s="145" t="s">
        <v>3</v>
      </c>
      <c r="D156" s="23"/>
      <c r="E156" s="29"/>
      <c r="F156" s="37"/>
      <c r="G156" s="287">
        <f>G61+G75+G90+G104+G116+G130</f>
        <v>96316</v>
      </c>
      <c r="H156" s="275">
        <f t="shared" si="32"/>
        <v>4815.8</v>
      </c>
      <c r="I156" s="27">
        <f>J9+J12</f>
        <v>7290.25</v>
      </c>
      <c r="J156" s="284">
        <f t="shared" si="33"/>
        <v>19606.05</v>
      </c>
      <c r="K156" s="9"/>
      <c r="L156" s="154"/>
      <c r="M156" s="241">
        <f t="shared" si="34"/>
        <v>4815.8</v>
      </c>
      <c r="N156" s="155"/>
      <c r="O156" s="157"/>
      <c r="P156" s="155"/>
      <c r="Q156" s="300"/>
      <c r="R156" s="7"/>
      <c r="S156" s="7"/>
    </row>
    <row r="157" spans="2:19" ht="15.75" x14ac:dyDescent="0.25">
      <c r="B157" s="8">
        <v>7</v>
      </c>
      <c r="C157" s="145" t="s">
        <v>4</v>
      </c>
      <c r="D157" s="23"/>
      <c r="E157" s="29"/>
      <c r="F157" s="37"/>
      <c r="G157" s="287">
        <f>G62+G76+G91+G117+G131</f>
        <v>87120</v>
      </c>
      <c r="H157" s="275">
        <f t="shared" si="32"/>
        <v>4356</v>
      </c>
      <c r="I157" s="27">
        <f>J9+J13</f>
        <v>7290.25</v>
      </c>
      <c r="J157" s="284">
        <f t="shared" si="33"/>
        <v>19146.25</v>
      </c>
      <c r="K157" s="9"/>
      <c r="L157" s="154"/>
      <c r="M157" s="241">
        <f t="shared" si="34"/>
        <v>4356</v>
      </c>
      <c r="N157" s="155"/>
      <c r="O157" s="155"/>
      <c r="P157" s="155"/>
      <c r="Q157" s="300"/>
      <c r="R157" s="7"/>
      <c r="S157" s="7"/>
    </row>
    <row r="158" spans="2:19" ht="15.75" x14ac:dyDescent="0.25">
      <c r="B158" s="8">
        <v>8</v>
      </c>
      <c r="C158" s="145" t="s">
        <v>5</v>
      </c>
      <c r="D158" s="23"/>
      <c r="E158" s="29"/>
      <c r="F158" s="37"/>
      <c r="G158" s="287">
        <f>G75+G92+G105+G118+G132</f>
        <v>98736</v>
      </c>
      <c r="H158" s="275">
        <f t="shared" si="32"/>
        <v>4936.8</v>
      </c>
      <c r="I158" s="27">
        <f>J9+J12+J27</f>
        <v>11827.75</v>
      </c>
      <c r="J158" s="284">
        <f t="shared" si="33"/>
        <v>24264.55</v>
      </c>
      <c r="K158" s="9"/>
      <c r="L158" s="154"/>
      <c r="M158" s="241">
        <f t="shared" si="34"/>
        <v>4936.8</v>
      </c>
      <c r="N158" s="155"/>
      <c r="O158" s="155"/>
      <c r="P158" s="155"/>
      <c r="Q158" s="300"/>
      <c r="R158" s="7"/>
      <c r="S158" s="7"/>
    </row>
    <row r="159" spans="2:19" ht="15.75" x14ac:dyDescent="0.25">
      <c r="B159" s="8">
        <v>9</v>
      </c>
      <c r="C159" s="145" t="s">
        <v>103</v>
      </c>
      <c r="D159" s="23"/>
      <c r="E159" s="29"/>
      <c r="F159" s="37"/>
      <c r="G159" s="287">
        <f>G78+G93+G133+G142</f>
        <v>392161</v>
      </c>
      <c r="H159" s="275">
        <f t="shared" si="32"/>
        <v>19608.05</v>
      </c>
      <c r="I159" s="27">
        <f>J9+J20</f>
        <v>8379.25</v>
      </c>
      <c r="J159" s="284">
        <f t="shared" si="33"/>
        <v>35487.300000000003</v>
      </c>
      <c r="K159" s="9"/>
      <c r="L159" s="154"/>
      <c r="M159" s="241">
        <f t="shared" si="34"/>
        <v>19608.05</v>
      </c>
      <c r="N159" s="155"/>
      <c r="O159" s="155"/>
      <c r="P159" s="155"/>
      <c r="Q159" s="300"/>
      <c r="R159" s="7"/>
      <c r="S159" s="7"/>
    </row>
    <row r="160" spans="2:19" ht="15.75" x14ac:dyDescent="0.25">
      <c r="B160" s="8">
        <v>10</v>
      </c>
      <c r="C160" s="145" t="s">
        <v>6</v>
      </c>
      <c r="D160" s="23"/>
      <c r="E160" s="29"/>
      <c r="F160" s="37"/>
      <c r="G160" s="287">
        <f>G64+G79+G119+G134</f>
        <v>133826</v>
      </c>
      <c r="H160" s="275">
        <f t="shared" si="32"/>
        <v>6691.3</v>
      </c>
      <c r="I160" s="27">
        <f>J9+J19+J29</f>
        <v>13098.25</v>
      </c>
      <c r="J160" s="284">
        <f t="shared" si="33"/>
        <v>27289.55</v>
      </c>
      <c r="K160" s="9"/>
      <c r="L160" s="154"/>
      <c r="M160" s="241">
        <f t="shared" si="34"/>
        <v>6691.3</v>
      </c>
      <c r="N160" s="155"/>
      <c r="O160" s="155"/>
      <c r="P160" s="155"/>
      <c r="Q160" s="300"/>
      <c r="R160" s="7"/>
      <c r="S160" s="7"/>
    </row>
    <row r="161" spans="2:19" ht="15.75" x14ac:dyDescent="0.25">
      <c r="B161" s="8">
        <v>11</v>
      </c>
      <c r="C161" s="261" t="s">
        <v>34</v>
      </c>
      <c r="D161" s="23"/>
      <c r="E161" s="29"/>
      <c r="F161" s="37"/>
      <c r="G161" s="287">
        <v>0</v>
      </c>
      <c r="H161" s="275">
        <f t="shared" si="32"/>
        <v>0</v>
      </c>
      <c r="I161" s="27">
        <f>J9+J26</f>
        <v>8288.5</v>
      </c>
      <c r="J161" s="284">
        <f t="shared" si="33"/>
        <v>15788.5</v>
      </c>
      <c r="K161" s="86"/>
      <c r="L161" s="154"/>
      <c r="M161" s="260"/>
      <c r="N161" s="155"/>
      <c r="O161" s="155"/>
      <c r="P161" s="155"/>
      <c r="Q161" s="300"/>
      <c r="R161" s="7"/>
      <c r="S161" s="7"/>
    </row>
    <row r="162" spans="2:19" ht="15.75" x14ac:dyDescent="0.25">
      <c r="B162" s="8">
        <v>12</v>
      </c>
      <c r="C162" s="261" t="s">
        <v>36</v>
      </c>
      <c r="D162" s="23"/>
      <c r="E162" s="262"/>
      <c r="F162" s="37"/>
      <c r="G162" s="287">
        <f>G80+G94+G106+G120+G135</f>
        <v>105028</v>
      </c>
      <c r="H162" s="275">
        <f t="shared" si="32"/>
        <v>5251.4000000000005</v>
      </c>
      <c r="I162" s="27">
        <f>J9+J15+J28</f>
        <v>11525.25</v>
      </c>
      <c r="J162" s="284">
        <f t="shared" si="33"/>
        <v>24276.65</v>
      </c>
      <c r="K162" s="86"/>
      <c r="L162" s="154"/>
      <c r="M162" s="260">
        <f t="shared" si="34"/>
        <v>5251.4000000000005</v>
      </c>
      <c r="N162" s="155"/>
      <c r="O162" s="155"/>
      <c r="P162" s="155"/>
      <c r="Q162" s="300"/>
      <c r="R162" s="7"/>
      <c r="S162" s="7"/>
    </row>
    <row r="163" spans="2:19" ht="15.75" x14ac:dyDescent="0.25">
      <c r="B163" s="8">
        <v>13</v>
      </c>
      <c r="C163" s="261" t="s">
        <v>43</v>
      </c>
      <c r="D163" s="23"/>
      <c r="E163" s="262"/>
      <c r="F163" s="37"/>
      <c r="G163" s="287">
        <f>G81+G95+G107+G136</f>
        <v>97647</v>
      </c>
      <c r="H163" s="275">
        <f t="shared" si="32"/>
        <v>4882.3500000000004</v>
      </c>
      <c r="I163" s="27">
        <f>J9+J36</f>
        <v>9165.75</v>
      </c>
      <c r="J163" s="284">
        <f t="shared" si="33"/>
        <v>21548.1</v>
      </c>
      <c r="K163" s="86"/>
      <c r="L163" s="154"/>
      <c r="M163" s="260">
        <f t="shared" si="34"/>
        <v>4882.3500000000004</v>
      </c>
      <c r="N163" s="155"/>
      <c r="O163" s="155"/>
      <c r="P163" s="155"/>
      <c r="Q163" s="300"/>
      <c r="R163" s="7"/>
      <c r="S163" s="7"/>
    </row>
    <row r="164" spans="2:19" ht="15.75" x14ac:dyDescent="0.25">
      <c r="B164" s="8">
        <v>14</v>
      </c>
      <c r="C164" s="261" t="s">
        <v>7</v>
      </c>
      <c r="D164" s="23"/>
      <c r="E164" s="262"/>
      <c r="F164" s="37"/>
      <c r="G164" s="287">
        <f>G82+G108+G137+G143</f>
        <v>73568</v>
      </c>
      <c r="H164" s="275">
        <f t="shared" si="32"/>
        <v>3678.4</v>
      </c>
      <c r="I164" s="27">
        <f>J9+J17</f>
        <v>7774.25</v>
      </c>
      <c r="J164" s="284">
        <f t="shared" si="33"/>
        <v>18952.650000000001</v>
      </c>
      <c r="K164" s="86"/>
      <c r="L164" s="154"/>
      <c r="M164" s="260">
        <f t="shared" si="34"/>
        <v>3678.4</v>
      </c>
      <c r="N164" s="155"/>
      <c r="O164" s="155"/>
      <c r="P164" s="155"/>
      <c r="Q164" s="300"/>
      <c r="R164" s="7"/>
      <c r="S164" s="7"/>
    </row>
    <row r="165" spans="2:19" ht="15.75" x14ac:dyDescent="0.25">
      <c r="B165" s="8">
        <v>15</v>
      </c>
      <c r="C165" s="269" t="s">
        <v>97</v>
      </c>
      <c r="D165" s="270"/>
      <c r="E165" s="271"/>
      <c r="F165" s="37"/>
      <c r="G165" s="287">
        <f>G65+G83+G121</f>
        <v>97284</v>
      </c>
      <c r="H165" s="275">
        <f t="shared" si="32"/>
        <v>4864.2</v>
      </c>
      <c r="I165" s="27">
        <f>J9</f>
        <v>4567.75</v>
      </c>
      <c r="J165" s="284">
        <f t="shared" si="33"/>
        <v>16931.95</v>
      </c>
      <c r="K165" s="86"/>
      <c r="L165" s="154"/>
      <c r="M165" s="260"/>
      <c r="N165" s="155"/>
      <c r="O165" s="155"/>
      <c r="P165" s="155"/>
      <c r="Q165" s="300"/>
      <c r="R165" s="7"/>
      <c r="S165" s="7"/>
    </row>
    <row r="166" spans="2:19" ht="15.75" x14ac:dyDescent="0.25">
      <c r="B166" s="8">
        <v>16</v>
      </c>
      <c r="C166" s="269" t="s">
        <v>104</v>
      </c>
      <c r="D166" s="270"/>
      <c r="E166" s="271"/>
      <c r="F166" s="37"/>
      <c r="G166" s="287">
        <f>G96+G109</f>
        <v>14883</v>
      </c>
      <c r="H166" s="275">
        <f t="shared" si="32"/>
        <v>744.15000000000009</v>
      </c>
      <c r="I166" s="27">
        <f>J9</f>
        <v>4567.75</v>
      </c>
      <c r="J166" s="284">
        <f t="shared" si="33"/>
        <v>12811.9</v>
      </c>
      <c r="K166" s="86"/>
      <c r="L166" s="154"/>
      <c r="M166" s="260"/>
      <c r="N166" s="155"/>
      <c r="O166" s="155"/>
      <c r="P166" s="155"/>
      <c r="Q166" s="300"/>
      <c r="R166" s="7"/>
      <c r="S166" s="7"/>
    </row>
    <row r="167" spans="2:19" ht="15.75" x14ac:dyDescent="0.25">
      <c r="B167" s="8">
        <v>17</v>
      </c>
      <c r="C167" s="269" t="s">
        <v>109</v>
      </c>
      <c r="D167" s="270"/>
      <c r="E167" s="271"/>
      <c r="F167" s="37"/>
      <c r="G167" s="287">
        <f>G122</f>
        <v>60500</v>
      </c>
      <c r="H167" s="275">
        <f t="shared" si="32"/>
        <v>3025</v>
      </c>
      <c r="I167" s="27">
        <f>J9</f>
        <v>4567.75</v>
      </c>
      <c r="J167" s="284">
        <f t="shared" si="33"/>
        <v>15092.75</v>
      </c>
      <c r="K167" s="86"/>
      <c r="L167" s="154"/>
      <c r="M167" s="260"/>
      <c r="N167" s="155"/>
      <c r="O167" s="155"/>
      <c r="P167" s="155"/>
      <c r="Q167" s="300"/>
      <c r="R167" s="7"/>
      <c r="S167" s="7"/>
    </row>
    <row r="168" spans="2:19" ht="16.5" thickBot="1" x14ac:dyDescent="0.3">
      <c r="B168" s="8">
        <v>18</v>
      </c>
      <c r="C168" s="263" t="s">
        <v>112</v>
      </c>
      <c r="D168" s="264"/>
      <c r="E168" s="265"/>
      <c r="F168" s="210"/>
      <c r="G168" s="287">
        <f>G144</f>
        <v>111320</v>
      </c>
      <c r="H168" s="275">
        <f t="shared" si="32"/>
        <v>5566</v>
      </c>
      <c r="I168" s="27">
        <f>J9</f>
        <v>4567.75</v>
      </c>
      <c r="J168" s="285">
        <f t="shared" si="33"/>
        <v>17633.75</v>
      </c>
      <c r="K168" s="86"/>
      <c r="L168" s="158"/>
      <c r="M168" s="242">
        <f t="shared" si="34"/>
        <v>5566</v>
      </c>
      <c r="N168" s="159"/>
      <c r="O168" s="159"/>
      <c r="P168" s="159"/>
      <c r="Q168" s="301"/>
      <c r="R168" s="7"/>
      <c r="S168" s="7"/>
    </row>
    <row r="169" spans="2:19" ht="18" thickBot="1" x14ac:dyDescent="0.3">
      <c r="B169" s="115"/>
      <c r="C169" s="118"/>
      <c r="D169" s="119"/>
      <c r="E169" s="40">
        <f>SUM(E151:E168)</f>
        <v>0</v>
      </c>
      <c r="F169" s="278">
        <f>G49</f>
        <v>1867272</v>
      </c>
      <c r="G169" s="279">
        <f>SUM(G151:G168)</f>
        <v>1868724</v>
      </c>
      <c r="H169" s="42">
        <f>SUM(H151:H168)</f>
        <v>93436.2</v>
      </c>
      <c r="I169" s="42">
        <f>SUM(I151:I168)</f>
        <v>142447.25</v>
      </c>
      <c r="J169" s="41">
        <f>SUM(J151:J168)</f>
        <v>370883.45</v>
      </c>
      <c r="K169" s="87" t="s">
        <v>31</v>
      </c>
      <c r="L169" s="171">
        <f>G169*5%</f>
        <v>93436.200000000012</v>
      </c>
      <c r="M169" s="82">
        <f>SUM(M151:M168)</f>
        <v>84076.85</v>
      </c>
      <c r="N169" s="171">
        <f>F169/1.21</f>
        <v>1543200</v>
      </c>
      <c r="O169" s="172">
        <f>G169/1.21</f>
        <v>1544400</v>
      </c>
      <c r="P169" s="163">
        <f>F169-G169</f>
        <v>-1452</v>
      </c>
      <c r="Q169" s="136" t="s">
        <v>65</v>
      </c>
      <c r="R169" s="164">
        <f>P149+P169</f>
        <v>-1452</v>
      </c>
      <c r="S169" s="165" t="s">
        <v>71</v>
      </c>
    </row>
    <row r="170" spans="2:19" x14ac:dyDescent="0.25">
      <c r="F170" s="277"/>
      <c r="G170" s="277"/>
    </row>
    <row r="171" spans="2:19" x14ac:dyDescent="0.25">
      <c r="G171" s="276">
        <f>G169-F169</f>
        <v>1452</v>
      </c>
    </row>
    <row r="172" spans="2:19" x14ac:dyDescent="0.25">
      <c r="G172" s="277"/>
      <c r="J172" s="288">
        <v>475449.69</v>
      </c>
      <c r="K172" s="281" t="s">
        <v>118</v>
      </c>
    </row>
  </sheetData>
  <mergeCells count="90">
    <mergeCell ref="B140:E140"/>
    <mergeCell ref="Q142:Q144"/>
    <mergeCell ref="B149:E149"/>
    <mergeCell ref="Q151:Q168"/>
    <mergeCell ref="Q101:Q109"/>
    <mergeCell ref="B112:E112"/>
    <mergeCell ref="Q114:Q122"/>
    <mergeCell ref="B125:E125"/>
    <mergeCell ref="Q127:Q137"/>
    <mergeCell ref="B69:E69"/>
    <mergeCell ref="Q71:Q83"/>
    <mergeCell ref="B86:E86"/>
    <mergeCell ref="Q88:Q96"/>
    <mergeCell ref="B99:E99"/>
    <mergeCell ref="Q56:Q65"/>
    <mergeCell ref="B54:E54"/>
    <mergeCell ref="F40:F41"/>
    <mergeCell ref="G40:G41"/>
    <mergeCell ref="K40:K41"/>
    <mergeCell ref="L40:L41"/>
    <mergeCell ref="M40:M41"/>
    <mergeCell ref="H40:H41"/>
    <mergeCell ref="N40:N41"/>
    <mergeCell ref="O40:O41"/>
    <mergeCell ref="P40:P41"/>
    <mergeCell ref="Q40:Q41"/>
    <mergeCell ref="B49:C49"/>
    <mergeCell ref="I40:I41"/>
    <mergeCell ref="J40:J41"/>
    <mergeCell ref="B39:E39"/>
    <mergeCell ref="B40:B41"/>
    <mergeCell ref="C40:C41"/>
    <mergeCell ref="D40:D41"/>
    <mergeCell ref="E40:E41"/>
    <mergeCell ref="N33:N34"/>
    <mergeCell ref="O33:O34"/>
    <mergeCell ref="P33:P34"/>
    <mergeCell ref="Q33:Q34"/>
    <mergeCell ref="Q35:Q36"/>
    <mergeCell ref="B37:C37"/>
    <mergeCell ref="F33:F34"/>
    <mergeCell ref="G33:G34"/>
    <mergeCell ref="K33:K34"/>
    <mergeCell ref="L33:L34"/>
    <mergeCell ref="I33:I34"/>
    <mergeCell ref="J33:J34"/>
    <mergeCell ref="M33:M34"/>
    <mergeCell ref="B32:E32"/>
    <mergeCell ref="B33:B34"/>
    <mergeCell ref="C33:C34"/>
    <mergeCell ref="D33:D34"/>
    <mergeCell ref="E33:E34"/>
    <mergeCell ref="H33:H34"/>
    <mergeCell ref="N24:N25"/>
    <mergeCell ref="O24:O25"/>
    <mergeCell ref="P24:P25"/>
    <mergeCell ref="Q24:Q25"/>
    <mergeCell ref="Q28:Q29"/>
    <mergeCell ref="B30:C30"/>
    <mergeCell ref="F24:F25"/>
    <mergeCell ref="G24:G25"/>
    <mergeCell ref="K24:K25"/>
    <mergeCell ref="L24:L25"/>
    <mergeCell ref="I24:I25"/>
    <mergeCell ref="J24:J25"/>
    <mergeCell ref="C5:C8"/>
    <mergeCell ref="M24:M25"/>
    <mergeCell ref="B23:E23"/>
    <mergeCell ref="B24:B25"/>
    <mergeCell ref="C24:C25"/>
    <mergeCell ref="D24:D25"/>
    <mergeCell ref="E24:E25"/>
    <mergeCell ref="H24:H25"/>
    <mergeCell ref="Q11:Q20"/>
    <mergeCell ref="F3:F4"/>
    <mergeCell ref="G3:G4"/>
    <mergeCell ref="K3:K4"/>
    <mergeCell ref="L3:L4"/>
    <mergeCell ref="M3:M4"/>
    <mergeCell ref="N3:N4"/>
    <mergeCell ref="O3:O4"/>
    <mergeCell ref="P3:P4"/>
    <mergeCell ref="Q3:Q4"/>
    <mergeCell ref="I3:I4"/>
    <mergeCell ref="J3:J4"/>
    <mergeCell ref="B3:B4"/>
    <mergeCell ref="C3:C4"/>
    <mergeCell ref="D3:D4"/>
    <mergeCell ref="E3:E4"/>
    <mergeCell ref="H3:H4"/>
  </mergeCells>
  <pageMargins left="0.7" right="0.7" top="0.75" bottom="0.75" header="0.3" footer="0.3"/>
  <pageSetup paperSize="8" scale="52" orientation="landscape" r:id="rId1"/>
  <ignoredErrors>
    <ignoredError sqref="I15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4A1A-06FE-41AC-9154-EBFC554CDF5A}">
  <sheetPr>
    <pageSetUpPr fitToPage="1"/>
  </sheetPr>
  <dimension ref="B1:S55"/>
  <sheetViews>
    <sheetView showGridLines="0" topLeftCell="A2" zoomScale="80" zoomScaleNormal="80" zoomScaleSheetLayoutView="50" workbookViewId="0">
      <selection activeCell="K52" sqref="K52"/>
    </sheetView>
  </sheetViews>
  <sheetFormatPr defaultRowHeight="15" x14ac:dyDescent="0.25"/>
  <cols>
    <col min="2" max="2" width="4.85546875" style="1" customWidth="1"/>
    <col min="3" max="3" width="23" customWidth="1"/>
    <col min="4" max="4" width="11.7109375" style="1" customWidth="1"/>
    <col min="5" max="5" width="17.5703125" style="1" customWidth="1"/>
    <col min="6" max="6" width="8.5703125" style="1" customWidth="1"/>
    <col min="7" max="7" width="17.140625" style="1" customWidth="1"/>
    <col min="8" max="8" width="16.85546875" style="1" customWidth="1"/>
    <col min="9" max="9" width="10.7109375" style="1" customWidth="1"/>
    <col min="10" max="10" width="17.140625" style="1" customWidth="1"/>
    <col min="11" max="11" width="54.28515625" style="1" customWidth="1"/>
    <col min="12" max="12" width="16.140625" style="1" customWidth="1"/>
    <col min="13" max="13" width="17.140625" style="1" customWidth="1"/>
    <col min="14" max="16" width="17.28515625" style="1" customWidth="1"/>
    <col min="17" max="17" width="37.28515625" customWidth="1"/>
    <col min="18" max="18" width="13.140625" customWidth="1"/>
    <col min="19" max="19" width="21.140625" customWidth="1"/>
  </cols>
  <sheetData>
    <row r="1" spans="2:19" ht="14.45" hidden="1" customHeight="1" x14ac:dyDescent="0.25">
      <c r="B1" s="4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19" ht="28.15" customHeight="1" thickBot="1" x14ac:dyDescent="0.3">
      <c r="B2" s="34" t="s">
        <v>92</v>
      </c>
      <c r="C2" s="31"/>
      <c r="D2" s="31"/>
      <c r="E2" s="31"/>
      <c r="F2" s="31"/>
      <c r="G2" s="31"/>
      <c r="H2" s="31"/>
      <c r="I2" s="31"/>
      <c r="J2" s="31"/>
      <c r="K2" s="31"/>
      <c r="L2"/>
      <c r="M2"/>
      <c r="N2"/>
      <c r="O2"/>
      <c r="P2"/>
      <c r="Q2" s="5"/>
      <c r="R2" s="5"/>
    </row>
    <row r="3" spans="2:19" ht="15" customHeight="1" x14ac:dyDescent="0.25">
      <c r="B3" s="289" t="s">
        <v>9</v>
      </c>
      <c r="C3" s="291" t="s">
        <v>57</v>
      </c>
      <c r="D3" s="293" t="s">
        <v>8</v>
      </c>
      <c r="E3" s="295" t="s">
        <v>62</v>
      </c>
      <c r="F3" s="355" t="s">
        <v>32</v>
      </c>
      <c r="G3" s="357" t="s">
        <v>59</v>
      </c>
      <c r="H3" s="295" t="s">
        <v>61</v>
      </c>
      <c r="I3" s="303" t="s">
        <v>58</v>
      </c>
      <c r="J3" s="297" t="s">
        <v>60</v>
      </c>
      <c r="K3" s="353" t="s">
        <v>10</v>
      </c>
      <c r="L3" s="305" t="s">
        <v>64</v>
      </c>
      <c r="M3" s="307" t="s">
        <v>66</v>
      </c>
      <c r="N3" s="305" t="s">
        <v>63</v>
      </c>
      <c r="O3" s="309" t="s">
        <v>68</v>
      </c>
      <c r="P3" s="311" t="s">
        <v>67</v>
      </c>
      <c r="Q3" s="313" t="s">
        <v>33</v>
      </c>
    </row>
    <row r="4" spans="2:19" ht="41.45" customHeight="1" thickBot="1" x14ac:dyDescent="0.3">
      <c r="B4" s="290"/>
      <c r="C4" s="292"/>
      <c r="D4" s="294"/>
      <c r="E4" s="296"/>
      <c r="F4" s="359"/>
      <c r="G4" s="360"/>
      <c r="H4" s="302"/>
      <c r="I4" s="351"/>
      <c r="J4" s="298"/>
      <c r="K4" s="354"/>
      <c r="L4" s="306"/>
      <c r="M4" s="308"/>
      <c r="N4" s="306"/>
      <c r="O4" s="310"/>
      <c r="P4" s="312"/>
      <c r="Q4" s="314"/>
    </row>
    <row r="5" spans="2:19" s="7" customFormat="1" ht="25.15" customHeight="1" thickBot="1" x14ac:dyDescent="0.35">
      <c r="B5" s="6">
        <v>1</v>
      </c>
      <c r="C5" s="315" t="s">
        <v>11</v>
      </c>
      <c r="D5" s="21"/>
      <c r="E5" s="35">
        <v>435600</v>
      </c>
      <c r="F5" s="66">
        <v>6</v>
      </c>
      <c r="G5" s="18" t="e">
        <f>#REF!</f>
        <v>#REF!</v>
      </c>
      <c r="H5" s="208"/>
      <c r="I5" s="66">
        <v>2</v>
      </c>
      <c r="J5" s="17">
        <v>145200</v>
      </c>
      <c r="K5" s="131" t="s">
        <v>23</v>
      </c>
      <c r="L5" s="137"/>
      <c r="M5" s="138"/>
      <c r="N5" s="138"/>
      <c r="O5" s="125">
        <v>120000</v>
      </c>
      <c r="P5" s="138"/>
      <c r="Q5" s="225" t="s">
        <v>69</v>
      </c>
      <c r="R5" s="7" t="s">
        <v>81</v>
      </c>
    </row>
    <row r="6" spans="2:19" s="7" customFormat="1" ht="25.15" customHeight="1" x14ac:dyDescent="0.3">
      <c r="B6" s="8">
        <v>2</v>
      </c>
      <c r="C6" s="316"/>
      <c r="D6" s="20"/>
      <c r="E6" s="80">
        <v>363000</v>
      </c>
      <c r="F6" s="67">
        <v>3</v>
      </c>
      <c r="G6" s="128" t="e">
        <f>#REF!</f>
        <v>#REF!</v>
      </c>
      <c r="H6" s="81"/>
      <c r="I6" s="67">
        <v>1</v>
      </c>
      <c r="J6" s="125">
        <v>349690</v>
      </c>
      <c r="K6" s="83" t="s">
        <v>13</v>
      </c>
      <c r="L6" s="139"/>
      <c r="M6" s="140"/>
      <c r="N6" s="140"/>
      <c r="O6" s="126">
        <v>289000</v>
      </c>
      <c r="P6" s="141"/>
      <c r="Q6" s="226" t="s">
        <v>76</v>
      </c>
      <c r="R6" s="221">
        <v>44312</v>
      </c>
    </row>
    <row r="7" spans="2:19" s="7" customFormat="1" ht="25.15" customHeight="1" x14ac:dyDescent="0.3">
      <c r="B7" s="8">
        <v>3</v>
      </c>
      <c r="C7" s="316"/>
      <c r="D7" s="20"/>
      <c r="E7" s="80">
        <v>363000</v>
      </c>
      <c r="F7" s="78">
        <v>2</v>
      </c>
      <c r="G7" s="129" t="e">
        <f>#REF!</f>
        <v>#REF!</v>
      </c>
      <c r="H7" s="81"/>
      <c r="I7" s="78">
        <v>1</v>
      </c>
      <c r="J7" s="126">
        <v>943800</v>
      </c>
      <c r="K7" s="83" t="s">
        <v>22</v>
      </c>
      <c r="L7" s="139"/>
      <c r="M7" s="140"/>
      <c r="N7" s="140"/>
      <c r="O7" s="126">
        <v>780000</v>
      </c>
      <c r="P7" s="140"/>
      <c r="Q7" s="226" t="s">
        <v>75</v>
      </c>
    </row>
    <row r="8" spans="2:19" s="7" customFormat="1" ht="25.15" customHeight="1" thickBot="1" x14ac:dyDescent="0.35">
      <c r="B8" s="14">
        <v>4</v>
      </c>
      <c r="C8" s="317"/>
      <c r="D8" s="22"/>
      <c r="E8" s="81">
        <v>242000</v>
      </c>
      <c r="F8" s="79">
        <v>2</v>
      </c>
      <c r="G8" s="130" t="e">
        <f>#REF!</f>
        <v>#REF!</v>
      </c>
      <c r="H8" s="81"/>
      <c r="I8" s="79">
        <v>5</v>
      </c>
      <c r="J8" s="127">
        <v>205700</v>
      </c>
      <c r="K8" s="84" t="s">
        <v>14</v>
      </c>
      <c r="L8" s="160"/>
      <c r="M8" s="161"/>
      <c r="N8" s="161"/>
      <c r="O8" s="127">
        <v>170000</v>
      </c>
      <c r="P8" s="162"/>
      <c r="Q8" s="227" t="s">
        <v>74</v>
      </c>
    </row>
    <row r="9" spans="2:19" s="7" customFormat="1" ht="25.15" customHeight="1" thickBot="1" x14ac:dyDescent="0.3">
      <c r="B9" s="115"/>
      <c r="C9" s="116"/>
      <c r="D9" s="117"/>
      <c r="E9" s="40">
        <f>SUM(E5:E8)</f>
        <v>1403600</v>
      </c>
      <c r="F9" s="68"/>
      <c r="G9" s="42" t="e">
        <f t="shared" ref="G9:J9" si="0">SUM(G5:G8)</f>
        <v>#REF!</v>
      </c>
      <c r="H9" s="40">
        <v>2093715</v>
      </c>
      <c r="I9" s="68"/>
      <c r="J9" s="112">
        <f t="shared" si="0"/>
        <v>1644390</v>
      </c>
      <c r="K9" s="15" t="s">
        <v>28</v>
      </c>
      <c r="L9" s="142">
        <f>E9/1.21</f>
        <v>1160000</v>
      </c>
      <c r="M9" s="143" t="e">
        <f>G9/1.21</f>
        <v>#REF!</v>
      </c>
      <c r="N9" s="132">
        <f>H9/1.21</f>
        <v>1730342.9752066117</v>
      </c>
      <c r="O9" s="107">
        <f>SUM(O5:O8)</f>
        <v>1359000</v>
      </c>
      <c r="P9" s="135">
        <f>H9-J9</f>
        <v>449325</v>
      </c>
      <c r="Q9" s="136" t="s">
        <v>65</v>
      </c>
      <c r="R9" s="114"/>
      <c r="S9" s="114"/>
    </row>
    <row r="10" spans="2:19" s="7" customFormat="1" ht="7.15" customHeight="1" thickBot="1" x14ac:dyDescent="0.3">
      <c r="B10" s="10"/>
      <c r="C10" s="25"/>
      <c r="D10" s="12"/>
      <c r="E10" s="28"/>
      <c r="F10" s="69"/>
      <c r="G10" s="26"/>
      <c r="H10" s="28"/>
      <c r="I10" s="69"/>
      <c r="J10" s="26"/>
      <c r="K10" s="16"/>
      <c r="L10" s="113"/>
      <c r="M10" s="113"/>
      <c r="N10" s="113"/>
      <c r="O10" s="113"/>
      <c r="P10" s="113"/>
    </row>
    <row r="11" spans="2:19" s="7" customFormat="1" ht="25.15" customHeight="1" x14ac:dyDescent="0.25">
      <c r="B11" s="6">
        <v>1</v>
      </c>
      <c r="C11" s="144" t="s">
        <v>5</v>
      </c>
      <c r="D11" s="21">
        <v>314</v>
      </c>
      <c r="E11" s="33">
        <v>169400</v>
      </c>
      <c r="F11" s="70">
        <v>6</v>
      </c>
      <c r="G11" s="32" t="e">
        <f>#REF!</f>
        <v>#REF!</v>
      </c>
      <c r="H11" s="209"/>
      <c r="I11" s="70">
        <v>9</v>
      </c>
      <c r="J11" s="133">
        <v>54450</v>
      </c>
      <c r="K11" s="85" t="s">
        <v>15</v>
      </c>
      <c r="L11" s="150"/>
      <c r="M11" s="151"/>
      <c r="N11" s="151"/>
      <c r="O11" s="152"/>
      <c r="P11" s="153"/>
      <c r="Q11" s="299" t="s">
        <v>70</v>
      </c>
    </row>
    <row r="12" spans="2:19" s="7" customFormat="1" ht="25.15" customHeight="1" x14ac:dyDescent="0.25">
      <c r="B12" s="8">
        <v>2</v>
      </c>
      <c r="C12" s="145" t="s">
        <v>3</v>
      </c>
      <c r="D12" s="23">
        <v>366</v>
      </c>
      <c r="E12" s="29">
        <v>169400</v>
      </c>
      <c r="F12" s="71">
        <v>6</v>
      </c>
      <c r="G12" s="121" t="e">
        <f>#REF!</f>
        <v>#REF!</v>
      </c>
      <c r="H12" s="37"/>
      <c r="I12" s="71">
        <v>9</v>
      </c>
      <c r="J12" s="134">
        <v>54450</v>
      </c>
      <c r="K12" s="9" t="s">
        <v>16</v>
      </c>
      <c r="L12" s="154"/>
      <c r="M12" s="155"/>
      <c r="N12" s="155"/>
      <c r="O12" s="155"/>
      <c r="P12" s="156"/>
      <c r="Q12" s="300"/>
    </row>
    <row r="13" spans="2:19" s="7" customFormat="1" ht="25.15" customHeight="1" x14ac:dyDescent="0.25">
      <c r="B13" s="8">
        <v>3</v>
      </c>
      <c r="C13" s="145" t="s">
        <v>4</v>
      </c>
      <c r="D13" s="23">
        <v>372</v>
      </c>
      <c r="E13" s="29">
        <v>169400</v>
      </c>
      <c r="F13" s="71">
        <v>6</v>
      </c>
      <c r="G13" s="121" t="e">
        <f>#REF!</f>
        <v>#REF!</v>
      </c>
      <c r="H13" s="37"/>
      <c r="I13" s="71">
        <v>9</v>
      </c>
      <c r="J13" s="134">
        <v>54450</v>
      </c>
      <c r="K13" s="9" t="s">
        <v>17</v>
      </c>
      <c r="L13" s="154"/>
      <c r="M13" s="155"/>
      <c r="N13" s="155"/>
      <c r="O13" s="155"/>
      <c r="P13" s="156"/>
      <c r="Q13" s="300"/>
    </row>
    <row r="14" spans="2:19" s="7" customFormat="1" ht="25.15" customHeight="1" x14ac:dyDescent="0.25">
      <c r="B14" s="8">
        <v>4</v>
      </c>
      <c r="C14" s="145" t="s">
        <v>0</v>
      </c>
      <c r="D14" s="23">
        <v>399</v>
      </c>
      <c r="E14" s="29">
        <v>169400</v>
      </c>
      <c r="F14" s="71">
        <v>6</v>
      </c>
      <c r="G14" s="121" t="e">
        <f>#REF!</f>
        <v>#REF!</v>
      </c>
      <c r="H14" s="37"/>
      <c r="I14" s="71">
        <v>9</v>
      </c>
      <c r="J14" s="134">
        <v>54450</v>
      </c>
      <c r="K14" s="9" t="s">
        <v>18</v>
      </c>
      <c r="L14" s="154"/>
      <c r="M14" s="155"/>
      <c r="N14" s="155"/>
      <c r="O14" s="155"/>
      <c r="P14" s="155"/>
      <c r="Q14" s="300"/>
    </row>
    <row r="15" spans="2:19" s="7" customFormat="1" ht="25.15" customHeight="1" x14ac:dyDescent="0.25">
      <c r="B15" s="8">
        <v>5</v>
      </c>
      <c r="C15" s="145" t="s">
        <v>30</v>
      </c>
      <c r="D15" s="23">
        <v>577</v>
      </c>
      <c r="E15" s="29">
        <v>169400</v>
      </c>
      <c r="F15" s="71">
        <v>6</v>
      </c>
      <c r="G15" s="121" t="e">
        <f>#REF!</f>
        <v>#REF!</v>
      </c>
      <c r="H15" s="37"/>
      <c r="I15" s="71">
        <v>9</v>
      </c>
      <c r="J15" s="134">
        <v>54450</v>
      </c>
      <c r="K15" s="9" t="s">
        <v>27</v>
      </c>
      <c r="L15" s="154"/>
      <c r="M15" s="155"/>
      <c r="N15" s="155"/>
      <c r="O15" s="155"/>
      <c r="P15" s="155"/>
      <c r="Q15" s="300"/>
    </row>
    <row r="16" spans="2:19" s="7" customFormat="1" ht="25.15" customHeight="1" x14ac:dyDescent="0.25">
      <c r="B16" s="8">
        <v>6</v>
      </c>
      <c r="C16" s="145" t="s">
        <v>25</v>
      </c>
      <c r="D16" s="23">
        <v>682</v>
      </c>
      <c r="E16" s="29">
        <v>217800</v>
      </c>
      <c r="F16" s="71">
        <v>6</v>
      </c>
      <c r="G16" s="121" t="e">
        <f>#REF!</f>
        <v>#REF!</v>
      </c>
      <c r="H16" s="37"/>
      <c r="I16" s="71">
        <v>9</v>
      </c>
      <c r="J16" s="134">
        <v>54450</v>
      </c>
      <c r="K16" s="9" t="s">
        <v>24</v>
      </c>
      <c r="L16" s="154"/>
      <c r="M16" s="155"/>
      <c r="N16" s="155"/>
      <c r="O16" s="157"/>
      <c r="P16" s="155"/>
      <c r="Q16" s="300"/>
    </row>
    <row r="17" spans="2:19" s="7" customFormat="1" ht="25.15" customHeight="1" x14ac:dyDescent="0.25">
      <c r="B17" s="8">
        <v>7</v>
      </c>
      <c r="C17" s="145" t="s">
        <v>7</v>
      </c>
      <c r="D17" s="23">
        <v>739</v>
      </c>
      <c r="E17" s="29">
        <v>217800</v>
      </c>
      <c r="F17" s="71">
        <v>6</v>
      </c>
      <c r="G17" s="121" t="e">
        <f>#REF!</f>
        <v>#REF!</v>
      </c>
      <c r="H17" s="37"/>
      <c r="I17" s="71">
        <v>9</v>
      </c>
      <c r="J17" s="27">
        <v>64130</v>
      </c>
      <c r="K17" s="9" t="s">
        <v>19</v>
      </c>
      <c r="L17" s="154"/>
      <c r="M17" s="155"/>
      <c r="N17" s="155"/>
      <c r="O17" s="155"/>
      <c r="P17" s="155"/>
      <c r="Q17" s="300"/>
    </row>
    <row r="18" spans="2:19" s="7" customFormat="1" ht="25.15" customHeight="1" x14ac:dyDescent="0.25">
      <c r="B18" s="8">
        <v>8</v>
      </c>
      <c r="C18" s="145" t="s">
        <v>1</v>
      </c>
      <c r="D18" s="23">
        <v>985</v>
      </c>
      <c r="E18" s="29">
        <v>217800</v>
      </c>
      <c r="F18" s="71">
        <v>6</v>
      </c>
      <c r="G18" s="121" t="e">
        <f>#REF!</f>
        <v>#REF!</v>
      </c>
      <c r="H18" s="37"/>
      <c r="I18" s="71">
        <v>9</v>
      </c>
      <c r="J18" s="134">
        <v>64130</v>
      </c>
      <c r="K18" s="9" t="s">
        <v>20</v>
      </c>
      <c r="L18" s="154"/>
      <c r="M18" s="155"/>
      <c r="N18" s="155"/>
      <c r="O18" s="155"/>
      <c r="P18" s="155"/>
      <c r="Q18" s="300"/>
    </row>
    <row r="19" spans="2:19" s="7" customFormat="1" ht="25.15" customHeight="1" x14ac:dyDescent="0.25">
      <c r="B19" s="8">
        <v>9</v>
      </c>
      <c r="C19" s="145" t="s">
        <v>6</v>
      </c>
      <c r="D19" s="23">
        <v>1050</v>
      </c>
      <c r="E19" s="29">
        <v>217800</v>
      </c>
      <c r="F19" s="71">
        <v>6</v>
      </c>
      <c r="G19" s="121" t="e">
        <f>#REF!</f>
        <v>#REF!</v>
      </c>
      <c r="H19" s="37"/>
      <c r="I19" s="71">
        <v>9</v>
      </c>
      <c r="J19" s="134">
        <v>64130</v>
      </c>
      <c r="K19" s="9" t="s">
        <v>21</v>
      </c>
      <c r="L19" s="154"/>
      <c r="M19" s="155"/>
      <c r="N19" s="155"/>
      <c r="O19" s="155"/>
      <c r="P19" s="155"/>
      <c r="Q19" s="300"/>
    </row>
    <row r="20" spans="2:19" s="7" customFormat="1" ht="25.15" customHeight="1" thickBot="1" x14ac:dyDescent="0.3">
      <c r="B20" s="36">
        <v>10</v>
      </c>
      <c r="C20" s="146" t="s">
        <v>29</v>
      </c>
      <c r="D20" s="22">
        <v>4379</v>
      </c>
      <c r="E20" s="37">
        <v>0</v>
      </c>
      <c r="F20" s="72">
        <v>6</v>
      </c>
      <c r="G20" s="122" t="e">
        <f>#REF!</f>
        <v>#REF!</v>
      </c>
      <c r="H20" s="210"/>
      <c r="I20" s="72">
        <v>9</v>
      </c>
      <c r="J20" s="134">
        <v>76230</v>
      </c>
      <c r="K20" s="86" t="s">
        <v>26</v>
      </c>
      <c r="L20" s="158"/>
      <c r="M20" s="159"/>
      <c r="N20" s="159"/>
      <c r="O20" s="159"/>
      <c r="P20" s="159"/>
      <c r="Q20" s="301"/>
    </row>
    <row r="21" spans="2:19" s="7" customFormat="1" ht="25.15" customHeight="1" thickBot="1" x14ac:dyDescent="0.3">
      <c r="B21" s="115"/>
      <c r="C21" s="118"/>
      <c r="D21" s="119"/>
      <c r="E21" s="40">
        <f>SUM(E11:E20)</f>
        <v>1718200</v>
      </c>
      <c r="F21" s="123"/>
      <c r="G21" s="123" t="e">
        <f t="shared" ref="G21" si="1">SUM(G11:G20)</f>
        <v>#REF!</v>
      </c>
      <c r="H21" s="40">
        <v>1284000</v>
      </c>
      <c r="I21" s="123"/>
      <c r="J21" s="41">
        <f>SUM(J11:J20)</f>
        <v>595320</v>
      </c>
      <c r="K21" s="87" t="s">
        <v>31</v>
      </c>
      <c r="L21" s="171">
        <f>E21/1.21</f>
        <v>1420000</v>
      </c>
      <c r="M21" s="82" t="e">
        <f>G21/1.21</f>
        <v>#REF!</v>
      </c>
      <c r="N21" s="171">
        <f>H21/1.21</f>
        <v>1061157.0247933886</v>
      </c>
      <c r="O21" s="172">
        <f>J21/1.21</f>
        <v>492000</v>
      </c>
      <c r="P21" s="163">
        <f>H21-J21</f>
        <v>688680</v>
      </c>
      <c r="Q21" s="136" t="s">
        <v>65</v>
      </c>
      <c r="R21" s="164">
        <f>P9+P21</f>
        <v>1138005</v>
      </c>
      <c r="S21" s="165" t="s">
        <v>71</v>
      </c>
    </row>
    <row r="22" spans="2:19" s="7" customFormat="1" ht="24" customHeight="1" x14ac:dyDescent="0.25">
      <c r="B22" s="10"/>
      <c r="C22" s="11"/>
      <c r="D22" s="12"/>
      <c r="E22" s="38"/>
      <c r="F22" s="19"/>
      <c r="G22" s="19"/>
      <c r="H22" s="38"/>
      <c r="I22" s="19"/>
      <c r="J22" s="19">
        <f>J17</f>
        <v>64130</v>
      </c>
      <c r="K22" s="13" t="s">
        <v>91</v>
      </c>
      <c r="L22" s="39"/>
      <c r="M22" s="39"/>
      <c r="N22" s="39"/>
      <c r="O22" s="39"/>
      <c r="P22" s="39"/>
    </row>
    <row r="23" spans="2:19" s="44" customFormat="1" ht="31.15" customHeight="1" thickBot="1" x14ac:dyDescent="0.3">
      <c r="B23" s="318" t="s">
        <v>37</v>
      </c>
      <c r="C23" s="318"/>
      <c r="D23" s="318"/>
      <c r="E23" s="318"/>
      <c r="F23" s="318"/>
      <c r="G23" s="318"/>
      <c r="H23" s="61"/>
      <c r="I23" s="61"/>
      <c r="J23" s="61"/>
      <c r="K23" s="120"/>
    </row>
    <row r="24" spans="2:19" ht="15" customHeight="1" x14ac:dyDescent="0.25">
      <c r="B24" s="289" t="s">
        <v>9</v>
      </c>
      <c r="C24" s="291" t="s">
        <v>57</v>
      </c>
      <c r="D24" s="293" t="s">
        <v>8</v>
      </c>
      <c r="E24" s="295" t="s">
        <v>62</v>
      </c>
      <c r="F24" s="355" t="s">
        <v>32</v>
      </c>
      <c r="G24" s="357" t="s">
        <v>59</v>
      </c>
      <c r="H24" s="295" t="s">
        <v>61</v>
      </c>
      <c r="I24" s="303"/>
      <c r="J24" s="297" t="s">
        <v>60</v>
      </c>
      <c r="K24" s="353" t="s">
        <v>10</v>
      </c>
      <c r="L24" s="327" t="s">
        <v>64</v>
      </c>
      <c r="M24" s="307" t="s">
        <v>66</v>
      </c>
      <c r="N24" s="329" t="s">
        <v>63</v>
      </c>
      <c r="O24" s="309" t="s">
        <v>68</v>
      </c>
      <c r="P24" s="331" t="s">
        <v>67</v>
      </c>
      <c r="Q24" s="333" t="s">
        <v>33</v>
      </c>
    </row>
    <row r="25" spans="2:19" ht="41.45" customHeight="1" thickBot="1" x14ac:dyDescent="0.3">
      <c r="B25" s="319"/>
      <c r="C25" s="320"/>
      <c r="D25" s="321"/>
      <c r="E25" s="322"/>
      <c r="F25" s="356"/>
      <c r="G25" s="358"/>
      <c r="H25" s="302"/>
      <c r="I25" s="351"/>
      <c r="J25" s="298"/>
      <c r="K25" s="354"/>
      <c r="L25" s="328"/>
      <c r="M25" s="308"/>
      <c r="N25" s="330"/>
      <c r="O25" s="310"/>
      <c r="P25" s="332"/>
      <c r="Q25" s="334"/>
    </row>
    <row r="26" spans="2:19" s="43" customFormat="1" ht="38.450000000000003" customHeight="1" x14ac:dyDescent="0.25">
      <c r="B26" s="47">
        <v>1</v>
      </c>
      <c r="C26" s="147" t="s">
        <v>34</v>
      </c>
      <c r="D26" s="54">
        <v>231</v>
      </c>
      <c r="E26" s="58">
        <v>72600</v>
      </c>
      <c r="F26" s="63">
        <v>3</v>
      </c>
      <c r="G26" s="166">
        <f>(74145+121000+199711)/3</f>
        <v>131618.66666666666</v>
      </c>
      <c r="H26" s="206"/>
      <c r="I26" s="63"/>
      <c r="J26" s="214">
        <v>74415</v>
      </c>
      <c r="K26" s="49" t="s">
        <v>35</v>
      </c>
      <c r="O26" s="182">
        <f>J26/1.21</f>
        <v>61500</v>
      </c>
      <c r="Q26" s="220" t="s">
        <v>80</v>
      </c>
    </row>
    <row r="27" spans="2:19" s="43" customFormat="1" ht="38.450000000000003" customHeight="1" x14ac:dyDescent="0.25">
      <c r="B27" s="50">
        <v>2</v>
      </c>
      <c r="C27" s="148" t="s">
        <v>5</v>
      </c>
      <c r="D27" s="55">
        <v>314</v>
      </c>
      <c r="E27" s="59">
        <v>181500</v>
      </c>
      <c r="F27" s="64">
        <v>6</v>
      </c>
      <c r="G27" s="167">
        <f>(324280+326700+155122+164560+90750+226270)/6</f>
        <v>214613.66666666666</v>
      </c>
      <c r="H27" s="101"/>
      <c r="I27" s="64"/>
      <c r="J27" s="215">
        <v>90750</v>
      </c>
      <c r="K27" s="45" t="s">
        <v>38</v>
      </c>
      <c r="O27" s="183">
        <f t="shared" ref="O27:O29" si="2">J27/1.21</f>
        <v>75000</v>
      </c>
      <c r="Q27" s="219" t="s">
        <v>79</v>
      </c>
    </row>
    <row r="28" spans="2:19" s="43" customFormat="1" ht="36" customHeight="1" x14ac:dyDescent="0.25">
      <c r="B28" s="50">
        <v>3</v>
      </c>
      <c r="C28" s="148" t="s">
        <v>36</v>
      </c>
      <c r="D28" s="55">
        <v>577</v>
      </c>
      <c r="E28" s="59">
        <v>181500</v>
      </c>
      <c r="F28" s="64">
        <v>2</v>
      </c>
      <c r="G28" s="167">
        <f>(193600+84700)/2</f>
        <v>139150</v>
      </c>
      <c r="H28" s="101"/>
      <c r="I28" s="64"/>
      <c r="J28" s="215">
        <v>84700</v>
      </c>
      <c r="K28" s="45" t="s">
        <v>39</v>
      </c>
      <c r="O28" s="183">
        <f t="shared" si="2"/>
        <v>70000</v>
      </c>
      <c r="Q28" s="335" t="s">
        <v>78</v>
      </c>
    </row>
    <row r="29" spans="2:19" ht="39.6" customHeight="1" thickBot="1" x14ac:dyDescent="0.3">
      <c r="B29" s="52">
        <v>4</v>
      </c>
      <c r="C29" s="149" t="s">
        <v>6</v>
      </c>
      <c r="D29" s="56">
        <v>1050</v>
      </c>
      <c r="E29" s="60">
        <v>133100</v>
      </c>
      <c r="F29" s="65">
        <v>2</v>
      </c>
      <c r="G29" s="168">
        <f>(157300+106480)/2</f>
        <v>131890</v>
      </c>
      <c r="H29" s="207"/>
      <c r="I29" s="65"/>
      <c r="J29" s="216">
        <v>106480</v>
      </c>
      <c r="K29" s="46" t="s">
        <v>40</v>
      </c>
      <c r="L29" s="43"/>
      <c r="M29" s="43"/>
      <c r="N29" s="43"/>
      <c r="O29" s="184">
        <f t="shared" si="2"/>
        <v>88000</v>
      </c>
      <c r="P29" s="43"/>
      <c r="Q29" s="336"/>
    </row>
    <row r="30" spans="2:19" s="44" customFormat="1" ht="31.15" customHeight="1" thickBot="1" x14ac:dyDescent="0.3">
      <c r="B30" s="323"/>
      <c r="C30" s="324"/>
      <c r="D30" s="57"/>
      <c r="E30" s="170">
        <f>SUM(E26:E29)</f>
        <v>568700</v>
      </c>
      <c r="F30" s="124"/>
      <c r="G30" s="169">
        <f>SUM(G26:G29)</f>
        <v>617272.33333333326</v>
      </c>
      <c r="H30" s="170">
        <v>356345</v>
      </c>
      <c r="I30" s="124"/>
      <c r="J30" s="109">
        <f>SUM(J26:J29)</f>
        <v>356345</v>
      </c>
      <c r="K30" s="204" t="s">
        <v>44</v>
      </c>
      <c r="L30" s="174">
        <f>E30/1.21</f>
        <v>470000</v>
      </c>
      <c r="M30" s="175">
        <f>G30/1.21</f>
        <v>510142.4242424242</v>
      </c>
      <c r="N30" s="176">
        <f>H30/1.21</f>
        <v>294500</v>
      </c>
      <c r="O30" s="108">
        <f>J30/1.21</f>
        <v>294500</v>
      </c>
      <c r="P30" s="177">
        <f>H30-J30</f>
        <v>0</v>
      </c>
      <c r="Q30" s="96"/>
    </row>
    <row r="31" spans="2:19" ht="15" customHeight="1" x14ac:dyDescent="0.25">
      <c r="I31" s="233">
        <f>E30-H30</f>
        <v>212355</v>
      </c>
    </row>
    <row r="32" spans="2:19" ht="41.45" customHeight="1" thickBot="1" x14ac:dyDescent="0.3">
      <c r="B32" s="337" t="s">
        <v>41</v>
      </c>
      <c r="C32" s="337"/>
      <c r="D32" s="337"/>
      <c r="E32" s="337"/>
      <c r="F32" s="337"/>
      <c r="G32" s="337"/>
      <c r="H32" s="62"/>
      <c r="I32" s="62"/>
      <c r="J32" s="62"/>
      <c r="K32" s="44"/>
      <c r="L32" s="44"/>
      <c r="M32" s="44"/>
      <c r="N32" s="44"/>
      <c r="O32" s="44"/>
      <c r="P32" s="44"/>
      <c r="Q32" s="44"/>
    </row>
    <row r="33" spans="2:19" ht="15" customHeight="1" x14ac:dyDescent="0.25">
      <c r="B33" s="289" t="s">
        <v>9</v>
      </c>
      <c r="C33" s="291" t="s">
        <v>57</v>
      </c>
      <c r="D33" s="293" t="s">
        <v>8</v>
      </c>
      <c r="E33" s="295" t="s">
        <v>62</v>
      </c>
      <c r="F33" s="355" t="s">
        <v>32</v>
      </c>
      <c r="G33" s="357" t="s">
        <v>59</v>
      </c>
      <c r="H33" s="295" t="s">
        <v>61</v>
      </c>
      <c r="I33" s="303"/>
      <c r="J33" s="297" t="s">
        <v>60</v>
      </c>
      <c r="K33" s="353" t="s">
        <v>10</v>
      </c>
      <c r="L33" s="305" t="s">
        <v>64</v>
      </c>
      <c r="M33" s="307" t="s">
        <v>66</v>
      </c>
      <c r="N33" s="305" t="s">
        <v>63</v>
      </c>
      <c r="O33" s="309" t="s">
        <v>68</v>
      </c>
      <c r="P33" s="311" t="s">
        <v>67</v>
      </c>
      <c r="Q33" s="313" t="s">
        <v>33</v>
      </c>
    </row>
    <row r="34" spans="2:19" ht="41.45" customHeight="1" thickBot="1" x14ac:dyDescent="0.3">
      <c r="B34" s="319"/>
      <c r="C34" s="320"/>
      <c r="D34" s="321"/>
      <c r="E34" s="322"/>
      <c r="F34" s="356"/>
      <c r="G34" s="358"/>
      <c r="H34" s="302"/>
      <c r="I34" s="351"/>
      <c r="J34" s="298"/>
      <c r="K34" s="354"/>
      <c r="L34" s="306"/>
      <c r="M34" s="308"/>
      <c r="N34" s="306"/>
      <c r="O34" s="310"/>
      <c r="P34" s="312"/>
      <c r="Q34" s="314"/>
    </row>
    <row r="35" spans="2:19" s="43" customFormat="1" ht="25.15" customHeight="1" x14ac:dyDescent="0.25">
      <c r="B35" s="47">
        <v>1</v>
      </c>
      <c r="C35" s="147" t="s">
        <v>1</v>
      </c>
      <c r="D35" s="54">
        <v>985</v>
      </c>
      <c r="E35" s="58"/>
      <c r="F35" s="63">
        <v>4</v>
      </c>
      <c r="G35" s="179">
        <f>(111320+153428+188760+23716)/4</f>
        <v>119306</v>
      </c>
      <c r="H35" s="206"/>
      <c r="I35" s="63"/>
      <c r="J35" s="217">
        <v>111320</v>
      </c>
      <c r="K35" s="73" t="s">
        <v>42</v>
      </c>
      <c r="Q35" s="339" t="s">
        <v>79</v>
      </c>
      <c r="S35" s="75"/>
    </row>
    <row r="36" spans="2:19" ht="32.25" thickBot="1" x14ac:dyDescent="0.3">
      <c r="B36" s="50">
        <v>2</v>
      </c>
      <c r="C36" s="148" t="s">
        <v>43</v>
      </c>
      <c r="D36" s="55">
        <v>1820</v>
      </c>
      <c r="E36" s="59"/>
      <c r="F36" s="64">
        <v>4</v>
      </c>
      <c r="G36" s="180">
        <f>(91960+184888+234740+201468)/4</f>
        <v>178264</v>
      </c>
      <c r="H36" s="207"/>
      <c r="I36" s="64"/>
      <c r="J36" s="218">
        <v>91960</v>
      </c>
      <c r="K36" s="74" t="s">
        <v>46</v>
      </c>
      <c r="L36" s="43"/>
      <c r="M36" s="43"/>
      <c r="N36" s="43"/>
      <c r="O36" s="43"/>
      <c r="P36" s="43"/>
      <c r="Q36" s="336"/>
    </row>
    <row r="37" spans="2:19" s="44" customFormat="1" ht="31.15" customHeight="1" thickBot="1" x14ac:dyDescent="0.3">
      <c r="B37" s="323"/>
      <c r="C37" s="324"/>
      <c r="D37" s="57"/>
      <c r="E37" s="170">
        <v>246840</v>
      </c>
      <c r="F37" s="124"/>
      <c r="G37" s="181">
        <f>SUM(G35:G36)</f>
        <v>297570</v>
      </c>
      <c r="H37" s="170">
        <v>203280</v>
      </c>
      <c r="I37" s="124"/>
      <c r="J37" s="110">
        <f>SUM(J35:J36)</f>
        <v>203280</v>
      </c>
      <c r="K37" s="205" t="s">
        <v>45</v>
      </c>
      <c r="L37" s="174">
        <f>E37/1.21</f>
        <v>204000</v>
      </c>
      <c r="M37" s="88">
        <f>G37/1.21</f>
        <v>245925.61983471076</v>
      </c>
      <c r="N37" s="178">
        <f>H37/1.21</f>
        <v>168000</v>
      </c>
      <c r="O37" s="106">
        <f>J37/1.21</f>
        <v>168000</v>
      </c>
      <c r="P37" s="177">
        <f>H37-J37</f>
        <v>0</v>
      </c>
      <c r="Q37" s="76"/>
    </row>
    <row r="38" spans="2:19" ht="15" customHeight="1" x14ac:dyDescent="0.25">
      <c r="I38" s="233">
        <f>E37-H37</f>
        <v>43560</v>
      </c>
    </row>
    <row r="39" spans="2:19" ht="41.45" customHeight="1" thickBot="1" x14ac:dyDescent="0.3">
      <c r="B39" s="340" t="s">
        <v>52</v>
      </c>
      <c r="C39" s="340"/>
      <c r="D39" s="340"/>
      <c r="E39" s="340"/>
      <c r="F39" s="340"/>
      <c r="G39" s="340"/>
      <c r="H39" s="61"/>
      <c r="I39" s="61"/>
      <c r="J39" s="61"/>
      <c r="K39" s="44"/>
      <c r="L39" s="44"/>
      <c r="M39" s="44"/>
      <c r="N39" s="44"/>
      <c r="O39" s="44"/>
      <c r="P39" s="44"/>
      <c r="Q39" s="44"/>
    </row>
    <row r="40" spans="2:19" s="43" customFormat="1" ht="30" customHeight="1" x14ac:dyDescent="0.25">
      <c r="B40" s="289" t="s">
        <v>9</v>
      </c>
      <c r="C40" s="341" t="s">
        <v>56</v>
      </c>
      <c r="D40" s="293"/>
      <c r="E40" s="295" t="s">
        <v>62</v>
      </c>
      <c r="F40" s="355" t="s">
        <v>32</v>
      </c>
      <c r="G40" s="357" t="s">
        <v>59</v>
      </c>
      <c r="H40" s="344" t="s">
        <v>72</v>
      </c>
      <c r="I40" s="303" t="s">
        <v>58</v>
      </c>
      <c r="J40" s="297" t="s">
        <v>60</v>
      </c>
      <c r="K40" s="325" t="s">
        <v>10</v>
      </c>
      <c r="L40" s="327" t="s">
        <v>64</v>
      </c>
      <c r="M40" s="307" t="s">
        <v>77</v>
      </c>
      <c r="N40" s="347" t="s">
        <v>63</v>
      </c>
      <c r="O40" s="309" t="s">
        <v>68</v>
      </c>
      <c r="P40" s="349" t="s">
        <v>47</v>
      </c>
      <c r="Q40" s="333" t="s">
        <v>33</v>
      </c>
    </row>
    <row r="41" spans="2:19" s="43" customFormat="1" ht="30" customHeight="1" thickBot="1" x14ac:dyDescent="0.3">
      <c r="B41" s="319"/>
      <c r="C41" s="342"/>
      <c r="D41" s="321"/>
      <c r="E41" s="322"/>
      <c r="F41" s="356"/>
      <c r="G41" s="358"/>
      <c r="H41" s="345"/>
      <c r="I41" s="351"/>
      <c r="J41" s="298"/>
      <c r="K41" s="352"/>
      <c r="L41" s="328"/>
      <c r="M41" s="308"/>
      <c r="N41" s="348"/>
      <c r="O41" s="310"/>
      <c r="P41" s="350"/>
      <c r="Q41" s="334"/>
    </row>
    <row r="42" spans="2:19" s="43" customFormat="1" ht="30" customHeight="1" x14ac:dyDescent="0.25">
      <c r="B42" s="47">
        <v>1</v>
      </c>
      <c r="C42" s="48" t="s">
        <v>53</v>
      </c>
      <c r="D42" s="54"/>
      <c r="E42" s="58">
        <v>181200</v>
      </c>
      <c r="F42" s="102">
        <v>4</v>
      </c>
      <c r="G42" s="166">
        <v>246658</v>
      </c>
      <c r="H42" s="191">
        <v>220000</v>
      </c>
      <c r="I42" s="102">
        <v>5</v>
      </c>
      <c r="J42" s="215">
        <f>O42*1.21</f>
        <v>118096</v>
      </c>
      <c r="K42" s="231">
        <f>10%*J42</f>
        <v>11809.6</v>
      </c>
      <c r="L42" s="197"/>
      <c r="M42" s="198"/>
      <c r="N42" s="211">
        <f>H42/1.21</f>
        <v>181818.18181818182</v>
      </c>
      <c r="O42" s="222">
        <v>97600</v>
      </c>
      <c r="P42" s="198"/>
      <c r="Q42" s="228" t="s">
        <v>83</v>
      </c>
    </row>
    <row r="43" spans="2:19" s="43" customFormat="1" ht="30" customHeight="1" x14ac:dyDescent="0.25">
      <c r="B43" s="50">
        <v>2</v>
      </c>
      <c r="C43" s="51" t="s">
        <v>48</v>
      </c>
      <c r="D43" s="55"/>
      <c r="E43" s="59">
        <v>1190000</v>
      </c>
      <c r="F43" s="103">
        <v>4</v>
      </c>
      <c r="G43" s="167">
        <f>(1078110+1783540+1996500+1911800)/4</f>
        <v>1692487.5</v>
      </c>
      <c r="H43" s="192">
        <v>1654000</v>
      </c>
      <c r="I43" s="103">
        <v>5</v>
      </c>
      <c r="J43" s="215">
        <f>O43*1.21</f>
        <v>713416</v>
      </c>
      <c r="K43" s="231"/>
      <c r="L43" s="199"/>
      <c r="M43" s="200"/>
      <c r="N43" s="212">
        <f t="shared" ref="N43:N48" si="3">H43/1.21</f>
        <v>1366942.1487603306</v>
      </c>
      <c r="O43" s="223">
        <v>589600</v>
      </c>
      <c r="P43" s="201"/>
      <c r="Q43" s="228" t="s">
        <v>84</v>
      </c>
    </row>
    <row r="44" spans="2:19" s="43" customFormat="1" ht="30" customHeight="1" x14ac:dyDescent="0.25">
      <c r="B44" s="50">
        <v>3</v>
      </c>
      <c r="C44" s="51" t="s">
        <v>49</v>
      </c>
      <c r="D44" s="55"/>
      <c r="E44" s="59">
        <v>87850</v>
      </c>
      <c r="F44" s="103">
        <v>4</v>
      </c>
      <c r="G44" s="167">
        <v>163652</v>
      </c>
      <c r="H44" s="192">
        <v>150000</v>
      </c>
      <c r="I44" s="103">
        <v>5</v>
      </c>
      <c r="J44" s="215">
        <f t="shared" ref="J44:J48" si="4">O44*1.21</f>
        <v>75746</v>
      </c>
      <c r="K44" s="231">
        <f>10%*J44</f>
        <v>7574.6</v>
      </c>
      <c r="L44" s="199"/>
      <c r="M44" s="200"/>
      <c r="N44" s="212">
        <f t="shared" si="3"/>
        <v>123966.94214876034</v>
      </c>
      <c r="O44" s="223">
        <v>62600</v>
      </c>
      <c r="P44" s="200"/>
      <c r="Q44" s="228" t="s">
        <v>85</v>
      </c>
    </row>
    <row r="45" spans="2:19" s="43" customFormat="1" ht="30" customHeight="1" x14ac:dyDescent="0.25">
      <c r="B45" s="50">
        <v>4</v>
      </c>
      <c r="C45" s="51" t="s">
        <v>50</v>
      </c>
      <c r="D45" s="98"/>
      <c r="E45" s="59">
        <v>28500</v>
      </c>
      <c r="F45" s="103">
        <v>4</v>
      </c>
      <c r="G45" s="167">
        <v>97608</v>
      </c>
      <c r="H45" s="192">
        <v>93000</v>
      </c>
      <c r="I45" s="103">
        <v>4</v>
      </c>
      <c r="J45" s="215">
        <f t="shared" si="4"/>
        <v>52030</v>
      </c>
      <c r="K45" s="231">
        <f>10%*J45</f>
        <v>5203</v>
      </c>
      <c r="L45" s="199"/>
      <c r="M45" s="200"/>
      <c r="N45" s="212">
        <f t="shared" si="3"/>
        <v>76859.504132231406</v>
      </c>
      <c r="O45" s="223">
        <v>43000</v>
      </c>
      <c r="P45" s="200"/>
      <c r="Q45" s="228" t="s">
        <v>82</v>
      </c>
    </row>
    <row r="46" spans="2:19" s="43" customFormat="1" ht="30" customHeight="1" x14ac:dyDescent="0.25">
      <c r="B46" s="50">
        <v>5</v>
      </c>
      <c r="C46" s="51" t="s">
        <v>54</v>
      </c>
      <c r="D46" s="55"/>
      <c r="E46" s="59">
        <v>1072000</v>
      </c>
      <c r="F46" s="103">
        <v>4</v>
      </c>
      <c r="G46" s="167">
        <v>1497755</v>
      </c>
      <c r="H46" s="192">
        <v>1440555</v>
      </c>
      <c r="I46" s="103">
        <v>5</v>
      </c>
      <c r="J46" s="215">
        <f t="shared" si="4"/>
        <v>575355</v>
      </c>
      <c r="K46" s="231">
        <f>35%*J46</f>
        <v>201374.25</v>
      </c>
      <c r="L46" s="199"/>
      <c r="M46" s="200"/>
      <c r="N46" s="212">
        <f t="shared" si="3"/>
        <v>1190541.3223140496</v>
      </c>
      <c r="O46" s="223">
        <v>475500</v>
      </c>
      <c r="P46" s="200"/>
      <c r="Q46" s="228" t="s">
        <v>86</v>
      </c>
    </row>
    <row r="47" spans="2:19" s="43" customFormat="1" ht="30" customHeight="1" x14ac:dyDescent="0.25">
      <c r="B47" s="97">
        <v>6</v>
      </c>
      <c r="C47" s="99" t="s">
        <v>55</v>
      </c>
      <c r="D47" s="100"/>
      <c r="E47" s="101">
        <v>212600</v>
      </c>
      <c r="F47" s="104">
        <v>4</v>
      </c>
      <c r="G47" s="186">
        <v>229755</v>
      </c>
      <c r="H47" s="192">
        <v>200000</v>
      </c>
      <c r="I47" s="104">
        <v>3</v>
      </c>
      <c r="J47" s="215">
        <f t="shared" si="4"/>
        <v>102245</v>
      </c>
      <c r="K47" s="231">
        <f>10%*J47</f>
        <v>10224.5</v>
      </c>
      <c r="L47" s="199"/>
      <c r="M47" s="200"/>
      <c r="N47" s="212">
        <f t="shared" si="3"/>
        <v>165289.25619834711</v>
      </c>
      <c r="O47" s="223">
        <v>84500</v>
      </c>
      <c r="P47" s="200"/>
      <c r="Q47" s="228" t="s">
        <v>87</v>
      </c>
    </row>
    <row r="48" spans="2:19" s="43" customFormat="1" ht="29.45" customHeight="1" thickBot="1" x14ac:dyDescent="0.3">
      <c r="B48" s="97">
        <v>7</v>
      </c>
      <c r="C48" s="53" t="s">
        <v>51</v>
      </c>
      <c r="D48" s="56"/>
      <c r="E48" s="60">
        <v>377400</v>
      </c>
      <c r="F48" s="105">
        <v>3</v>
      </c>
      <c r="G48" s="168">
        <f>288787+230707+41543</f>
        <v>561037</v>
      </c>
      <c r="H48" s="193">
        <v>530000</v>
      </c>
      <c r="I48" s="105">
        <v>2</v>
      </c>
      <c r="J48" s="215">
        <f t="shared" si="4"/>
        <v>229174</v>
      </c>
      <c r="K48" s="231"/>
      <c r="L48" s="202"/>
      <c r="M48" s="203"/>
      <c r="N48" s="213">
        <f t="shared" si="3"/>
        <v>438016.52892561984</v>
      </c>
      <c r="O48" s="224">
        <v>189400</v>
      </c>
      <c r="P48" s="203"/>
      <c r="Q48" s="228" t="s">
        <v>88</v>
      </c>
    </row>
    <row r="49" spans="2:17" ht="32.450000000000003" customHeight="1" thickBot="1" x14ac:dyDescent="0.3">
      <c r="B49" s="323"/>
      <c r="C49" s="324"/>
      <c r="D49" s="57"/>
      <c r="E49" s="170">
        <f>SUM(E42:E48)</f>
        <v>3149550</v>
      </c>
      <c r="F49" s="185"/>
      <c r="G49" s="169">
        <f>SUM(G42:G48)</f>
        <v>4488952.5</v>
      </c>
      <c r="H49" s="190">
        <f>SUM(H42:H48)</f>
        <v>4287555</v>
      </c>
      <c r="I49" s="185"/>
      <c r="J49" s="111">
        <f>SUM(J42:J48)</f>
        <v>1866062</v>
      </c>
      <c r="K49" s="204" t="s">
        <v>73</v>
      </c>
      <c r="L49" s="173">
        <f>E49/1.21</f>
        <v>2602933.8842975209</v>
      </c>
      <c r="M49" s="175">
        <f>G49/1.21</f>
        <v>3709878.0991735538</v>
      </c>
      <c r="N49" s="196">
        <f>H49/1.21</f>
        <v>3543433.8842975209</v>
      </c>
      <c r="O49" s="108">
        <f>J49/1.21</f>
        <v>1542200</v>
      </c>
      <c r="P49" s="89"/>
      <c r="Q49" s="77"/>
    </row>
    <row r="50" spans="2:17" ht="17.25" x14ac:dyDescent="0.25">
      <c r="B50" s="90"/>
      <c r="C50" s="90"/>
      <c r="D50" s="91"/>
      <c r="E50" s="92"/>
      <c r="F50" s="93"/>
      <c r="G50" s="94"/>
      <c r="K50" s="232">
        <f>SUM(K42:K48)</f>
        <v>236185.95</v>
      </c>
      <c r="L50" s="95"/>
      <c r="M50" s="95"/>
      <c r="N50" s="95"/>
      <c r="O50" s="95"/>
      <c r="P50" s="194"/>
      <c r="Q50" s="195"/>
    </row>
    <row r="51" spans="2:17" ht="25.15" customHeight="1" x14ac:dyDescent="0.25">
      <c r="H51" s="230">
        <f>H49-J49</f>
        <v>2421493</v>
      </c>
      <c r="I51" s="187" t="s">
        <v>89</v>
      </c>
      <c r="J51" s="188"/>
    </row>
    <row r="52" spans="2:17" x14ac:dyDescent="0.25">
      <c r="H52" s="229"/>
      <c r="I52" s="189" t="s">
        <v>90</v>
      </c>
      <c r="J52" s="229"/>
    </row>
    <row r="55" spans="2:17" x14ac:dyDescent="0.25">
      <c r="K55" s="1">
        <f>K50/18</f>
        <v>13121.441666666668</v>
      </c>
    </row>
  </sheetData>
  <mergeCells count="74">
    <mergeCell ref="Q24:Q25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Q28:Q29"/>
    <mergeCell ref="I24:I25"/>
    <mergeCell ref="J24:J25"/>
    <mergeCell ref="K24:K25"/>
    <mergeCell ref="L24:L25"/>
    <mergeCell ref="P24:P25"/>
    <mergeCell ref="D24:D25"/>
    <mergeCell ref="E24:E25"/>
    <mergeCell ref="F24:F25"/>
    <mergeCell ref="G24:G25"/>
    <mergeCell ref="H24:H25"/>
    <mergeCell ref="Q3:Q4"/>
    <mergeCell ref="B23:G23"/>
    <mergeCell ref="B32:G32"/>
    <mergeCell ref="C5:C8"/>
    <mergeCell ref="B3:B4"/>
    <mergeCell ref="C3:C4"/>
    <mergeCell ref="D3:D4"/>
    <mergeCell ref="E3:E4"/>
    <mergeCell ref="F3:F4"/>
    <mergeCell ref="G3:G4"/>
    <mergeCell ref="I3:I4"/>
    <mergeCell ref="H3:H4"/>
    <mergeCell ref="B24:B25"/>
    <mergeCell ref="J3:J4"/>
    <mergeCell ref="O3:O4"/>
    <mergeCell ref="C24:C25"/>
    <mergeCell ref="B49:C49"/>
    <mergeCell ref="B40:B41"/>
    <mergeCell ref="C40:C41"/>
    <mergeCell ref="D40:D41"/>
    <mergeCell ref="E40:E41"/>
    <mergeCell ref="B30:C30"/>
    <mergeCell ref="B39:G39"/>
    <mergeCell ref="P33:P34"/>
    <mergeCell ref="Q33:Q34"/>
    <mergeCell ref="M40:M41"/>
    <mergeCell ref="O40:O41"/>
    <mergeCell ref="P40:P41"/>
    <mergeCell ref="F40:F41"/>
    <mergeCell ref="G40:G41"/>
    <mergeCell ref="B37:C37"/>
    <mergeCell ref="Q35:Q36"/>
    <mergeCell ref="Q11:Q20"/>
    <mergeCell ref="H40:H41"/>
    <mergeCell ref="N3:N4"/>
    <mergeCell ref="N40:N41"/>
    <mergeCell ref="I40:I41"/>
    <mergeCell ref="L3:L4"/>
    <mergeCell ref="L40:L41"/>
    <mergeCell ref="Q40:Q41"/>
    <mergeCell ref="J40:J41"/>
    <mergeCell ref="K40:K41"/>
    <mergeCell ref="M3:M4"/>
    <mergeCell ref="K3:K4"/>
    <mergeCell ref="M24:M25"/>
    <mergeCell ref="N24:N25"/>
    <mergeCell ref="O24:O25"/>
    <mergeCell ref="P3:P4"/>
  </mergeCells>
  <phoneticPr fontId="44" type="noConversion"/>
  <pageMargins left="0.7" right="0.7" top="0.75" bottom="0.75" header="0.3" footer="0.3"/>
  <pageSetup paperSize="8" scale="52" orientation="landscape" r:id="rId1"/>
  <ignoredErrors>
    <ignoredError sqref="M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CDD5-322B-4CAC-BBF2-3565982103B8}">
  <sheetPr>
    <pageSetUpPr fitToPage="1"/>
  </sheetPr>
  <dimension ref="B2:N78"/>
  <sheetViews>
    <sheetView showGridLines="0" tabSelected="1" zoomScale="80" zoomScaleNormal="80" zoomScaleSheetLayoutView="50" workbookViewId="0">
      <selection activeCell="G4" sqref="G4"/>
    </sheetView>
  </sheetViews>
  <sheetFormatPr defaultRowHeight="15" x14ac:dyDescent="0.25"/>
  <cols>
    <col min="2" max="2" width="6.42578125" style="1" customWidth="1"/>
    <col min="3" max="3" width="23.5703125" customWidth="1"/>
    <col min="4" max="4" width="17.42578125" style="380" customWidth="1"/>
    <col min="5" max="5" width="56.7109375" style="380" customWidth="1"/>
    <col min="6" max="6" width="27.7109375" style="361" customWidth="1"/>
    <col min="7" max="7" width="16.140625" style="1" customWidth="1"/>
  </cols>
  <sheetData>
    <row r="2" spans="2:7" ht="14.45" hidden="1" customHeight="1" x14ac:dyDescent="0.25">
      <c r="B2" s="4"/>
      <c r="D2" s="368"/>
      <c r="E2" s="368"/>
      <c r="G2" s="3"/>
    </row>
    <row r="3" spans="2:7" ht="64.5" customHeight="1" x14ac:dyDescent="0.25">
      <c r="B3" s="4"/>
      <c r="D3" s="368"/>
      <c r="E3" s="368"/>
      <c r="G3" s="3"/>
    </row>
    <row r="4" spans="2:7" ht="43.5" customHeight="1" x14ac:dyDescent="0.3">
      <c r="B4" s="555" t="s">
        <v>169</v>
      </c>
      <c r="D4" s="368"/>
      <c r="E4" s="368"/>
      <c r="G4" s="3"/>
    </row>
    <row r="5" spans="2:7" ht="14.45" customHeight="1" x14ac:dyDescent="0.25">
      <c r="B5" s="4"/>
      <c r="D5" s="368"/>
      <c r="E5" s="368"/>
      <c r="G5" s="3"/>
    </row>
    <row r="6" spans="2:7" ht="28.15" customHeight="1" thickBot="1" x14ac:dyDescent="0.3">
      <c r="B6" s="34" t="s">
        <v>12</v>
      </c>
      <c r="C6" s="31"/>
      <c r="D6" s="369"/>
      <c r="E6" s="370"/>
      <c r="F6" s="362"/>
      <c r="G6"/>
    </row>
    <row r="7" spans="2:7" ht="15" customHeight="1" x14ac:dyDescent="0.25">
      <c r="B7" s="501" t="s">
        <v>9</v>
      </c>
      <c r="C7" s="303" t="s">
        <v>165</v>
      </c>
      <c r="D7" s="384" t="s">
        <v>60</v>
      </c>
      <c r="E7" s="371" t="s">
        <v>10</v>
      </c>
      <c r="F7" s="388" t="s">
        <v>119</v>
      </c>
      <c r="G7" s="401" t="s">
        <v>152</v>
      </c>
    </row>
    <row r="8" spans="2:7" ht="41.45" customHeight="1" thickBot="1" x14ac:dyDescent="0.3">
      <c r="B8" s="502"/>
      <c r="C8" s="304"/>
      <c r="D8" s="389"/>
      <c r="E8" s="372"/>
      <c r="F8" s="390"/>
      <c r="G8" s="402"/>
    </row>
    <row r="9" spans="2:7" s="7" customFormat="1" ht="25.15" customHeight="1" x14ac:dyDescent="0.3">
      <c r="B9" s="468">
        <v>1</v>
      </c>
      <c r="C9" s="552" t="s">
        <v>168</v>
      </c>
      <c r="D9" s="405">
        <v>145200</v>
      </c>
      <c r="E9" s="470" t="s">
        <v>23</v>
      </c>
      <c r="F9" s="549" t="s">
        <v>121</v>
      </c>
      <c r="G9" s="471">
        <f>D9*5%</f>
        <v>7260</v>
      </c>
    </row>
    <row r="10" spans="2:7" s="7" customFormat="1" ht="25.15" customHeight="1" x14ac:dyDescent="0.3">
      <c r="B10" s="469">
        <v>2</v>
      </c>
      <c r="C10" s="553"/>
      <c r="D10" s="406">
        <v>349690</v>
      </c>
      <c r="E10" s="472" t="s">
        <v>13</v>
      </c>
      <c r="F10" s="550" t="s">
        <v>122</v>
      </c>
      <c r="G10" s="473">
        <f>D10*5%</f>
        <v>17484.5</v>
      </c>
    </row>
    <row r="11" spans="2:7" s="7" customFormat="1" ht="25.15" customHeight="1" x14ac:dyDescent="0.3">
      <c r="B11" s="469">
        <v>3</v>
      </c>
      <c r="C11" s="553"/>
      <c r="D11" s="406">
        <v>943800</v>
      </c>
      <c r="E11" s="472" t="s">
        <v>22</v>
      </c>
      <c r="F11" s="550" t="s">
        <v>120</v>
      </c>
      <c r="G11" s="473">
        <f>D11*5%</f>
        <v>47190</v>
      </c>
    </row>
    <row r="12" spans="2:7" s="7" customFormat="1" ht="25.15" customHeight="1" thickBot="1" x14ac:dyDescent="0.35">
      <c r="B12" s="24">
        <v>4</v>
      </c>
      <c r="C12" s="554"/>
      <c r="D12" s="407">
        <v>205700</v>
      </c>
      <c r="E12" s="474" t="s">
        <v>14</v>
      </c>
      <c r="F12" s="551" t="s">
        <v>123</v>
      </c>
      <c r="G12" s="475">
        <f>D12*5%</f>
        <v>10285</v>
      </c>
    </row>
    <row r="13" spans="2:7" s="7" customFormat="1" ht="20.100000000000001" customHeight="1" thickBot="1" x14ac:dyDescent="0.3">
      <c r="B13" s="476"/>
      <c r="C13" s="477"/>
      <c r="D13" s="404">
        <f t="shared" ref="D13" si="0">SUM(D9:D12)</f>
        <v>1644390</v>
      </c>
      <c r="E13" s="478" t="s">
        <v>28</v>
      </c>
      <c r="F13" s="479"/>
      <c r="G13" s="480">
        <f>D13*5%</f>
        <v>82219.5</v>
      </c>
    </row>
    <row r="14" spans="2:7" s="7" customFormat="1" ht="7.15" customHeight="1" thickBot="1" x14ac:dyDescent="0.3">
      <c r="B14" s="10"/>
      <c r="C14" s="25"/>
      <c r="D14" s="373"/>
      <c r="E14" s="374"/>
      <c r="F14" s="365"/>
      <c r="G14" s="413"/>
    </row>
    <row r="15" spans="2:7" s="7" customFormat="1" ht="25.15" customHeight="1" x14ac:dyDescent="0.25">
      <c r="B15" s="503" t="s">
        <v>9</v>
      </c>
      <c r="C15" s="504" t="s">
        <v>165</v>
      </c>
      <c r="D15" s="481" t="s">
        <v>60</v>
      </c>
      <c r="E15" s="482" t="s">
        <v>10</v>
      </c>
      <c r="F15" s="388" t="s">
        <v>119</v>
      </c>
      <c r="G15" s="385" t="s">
        <v>93</v>
      </c>
    </row>
    <row r="16" spans="2:7" s="7" customFormat="1" ht="25.15" customHeight="1" thickBot="1" x14ac:dyDescent="0.3">
      <c r="B16" s="505"/>
      <c r="C16" s="506"/>
      <c r="D16" s="486"/>
      <c r="E16" s="487"/>
      <c r="F16" s="488"/>
      <c r="G16" s="386"/>
    </row>
    <row r="17" spans="2:7" s="7" customFormat="1" ht="25.15" customHeight="1" x14ac:dyDescent="0.25">
      <c r="B17" s="6">
        <v>1</v>
      </c>
      <c r="C17" s="144" t="s">
        <v>5</v>
      </c>
      <c r="D17" s="408">
        <v>54450</v>
      </c>
      <c r="E17" s="495" t="s">
        <v>15</v>
      </c>
      <c r="F17" s="546" t="s">
        <v>124</v>
      </c>
      <c r="G17" s="496">
        <f>D17*5%</f>
        <v>2722.5</v>
      </c>
    </row>
    <row r="18" spans="2:7" s="7" customFormat="1" ht="25.15" customHeight="1" x14ac:dyDescent="0.25">
      <c r="B18" s="267">
        <v>2</v>
      </c>
      <c r="C18" s="145" t="s">
        <v>3</v>
      </c>
      <c r="D18" s="483">
        <v>54450</v>
      </c>
      <c r="E18" s="484" t="s">
        <v>16</v>
      </c>
      <c r="F18" s="547"/>
      <c r="G18" s="485">
        <f t="shared" ref="G18:G28" si="1">D18*5%</f>
        <v>2722.5</v>
      </c>
    </row>
    <row r="19" spans="2:7" s="7" customFormat="1" ht="25.15" customHeight="1" x14ac:dyDescent="0.25">
      <c r="B19" s="267">
        <v>3</v>
      </c>
      <c r="C19" s="145" t="s">
        <v>4</v>
      </c>
      <c r="D19" s="483">
        <v>54450</v>
      </c>
      <c r="E19" s="484" t="s">
        <v>17</v>
      </c>
      <c r="F19" s="547"/>
      <c r="G19" s="485">
        <f t="shared" si="1"/>
        <v>2722.5</v>
      </c>
    </row>
    <row r="20" spans="2:7" s="7" customFormat="1" ht="25.15" customHeight="1" x14ac:dyDescent="0.25">
      <c r="B20" s="267">
        <v>4</v>
      </c>
      <c r="C20" s="145" t="s">
        <v>0</v>
      </c>
      <c r="D20" s="483">
        <v>54450</v>
      </c>
      <c r="E20" s="484" t="s">
        <v>18</v>
      </c>
      <c r="F20" s="547"/>
      <c r="G20" s="485">
        <f t="shared" si="1"/>
        <v>2722.5</v>
      </c>
    </row>
    <row r="21" spans="2:7" s="7" customFormat="1" ht="25.15" customHeight="1" x14ac:dyDescent="0.25">
      <c r="B21" s="267">
        <v>5</v>
      </c>
      <c r="C21" s="145" t="s">
        <v>30</v>
      </c>
      <c r="D21" s="483">
        <v>54450</v>
      </c>
      <c r="E21" s="484" t="s">
        <v>27</v>
      </c>
      <c r="F21" s="547"/>
      <c r="G21" s="485">
        <f t="shared" si="1"/>
        <v>2722.5</v>
      </c>
    </row>
    <row r="22" spans="2:7" s="7" customFormat="1" ht="25.15" customHeight="1" x14ac:dyDescent="0.25">
      <c r="B22" s="267">
        <v>6</v>
      </c>
      <c r="C22" s="145" t="s">
        <v>25</v>
      </c>
      <c r="D22" s="483">
        <v>54450</v>
      </c>
      <c r="E22" s="484" t="s">
        <v>24</v>
      </c>
      <c r="F22" s="547"/>
      <c r="G22" s="485">
        <f t="shared" si="1"/>
        <v>2722.5</v>
      </c>
    </row>
    <row r="23" spans="2:7" s="7" customFormat="1" ht="25.15" customHeight="1" x14ac:dyDescent="0.25">
      <c r="B23" s="267">
        <v>7</v>
      </c>
      <c r="C23" s="145" t="s">
        <v>7</v>
      </c>
      <c r="D23" s="483">
        <v>64130</v>
      </c>
      <c r="E23" s="484" t="s">
        <v>19</v>
      </c>
      <c r="F23" s="547"/>
      <c r="G23" s="485">
        <f t="shared" si="1"/>
        <v>3206.5</v>
      </c>
    </row>
    <row r="24" spans="2:7" s="7" customFormat="1" ht="25.15" customHeight="1" x14ac:dyDescent="0.25">
      <c r="B24" s="267">
        <v>8</v>
      </c>
      <c r="C24" s="145" t="s">
        <v>1</v>
      </c>
      <c r="D24" s="483">
        <v>64130</v>
      </c>
      <c r="E24" s="484" t="s">
        <v>20</v>
      </c>
      <c r="F24" s="547"/>
      <c r="G24" s="485">
        <f t="shared" si="1"/>
        <v>3206.5</v>
      </c>
    </row>
    <row r="25" spans="2:7" s="7" customFormat="1" ht="25.15" customHeight="1" x14ac:dyDescent="0.25">
      <c r="B25" s="267">
        <v>9</v>
      </c>
      <c r="C25" s="145" t="s">
        <v>6</v>
      </c>
      <c r="D25" s="483">
        <v>64130</v>
      </c>
      <c r="E25" s="484" t="s">
        <v>21</v>
      </c>
      <c r="F25" s="547"/>
      <c r="G25" s="485">
        <f t="shared" si="1"/>
        <v>3206.5</v>
      </c>
    </row>
    <row r="26" spans="2:7" s="7" customFormat="1" ht="25.15" customHeight="1" x14ac:dyDescent="0.25">
      <c r="B26" s="267">
        <v>10</v>
      </c>
      <c r="C26" s="145" t="s">
        <v>29</v>
      </c>
      <c r="D26" s="483">
        <v>76230</v>
      </c>
      <c r="E26" s="484" t="s">
        <v>26</v>
      </c>
      <c r="F26" s="547"/>
      <c r="G26" s="485">
        <f t="shared" si="1"/>
        <v>3811.5</v>
      </c>
    </row>
    <row r="27" spans="2:7" s="7" customFormat="1" ht="25.15" customHeight="1" x14ac:dyDescent="0.25">
      <c r="B27" s="267">
        <v>11</v>
      </c>
      <c r="C27" s="145" t="s">
        <v>2</v>
      </c>
      <c r="D27" s="483">
        <v>64130</v>
      </c>
      <c r="E27" s="484" t="s">
        <v>127</v>
      </c>
      <c r="F27" s="547"/>
      <c r="G27" s="485">
        <f t="shared" si="1"/>
        <v>3206.5</v>
      </c>
    </row>
    <row r="28" spans="2:7" s="7" customFormat="1" ht="24" customHeight="1" thickBot="1" x14ac:dyDescent="0.3">
      <c r="B28" s="268">
        <v>12</v>
      </c>
      <c r="C28" s="497" t="s">
        <v>125</v>
      </c>
      <c r="D28" s="498">
        <v>54450</v>
      </c>
      <c r="E28" s="499" t="s">
        <v>126</v>
      </c>
      <c r="F28" s="548"/>
      <c r="G28" s="500">
        <f t="shared" si="1"/>
        <v>2722.5</v>
      </c>
    </row>
    <row r="29" spans="2:7" s="44" customFormat="1" ht="20.100000000000001" customHeight="1" thickBot="1" x14ac:dyDescent="0.3">
      <c r="B29" s="489"/>
      <c r="C29" s="490"/>
      <c r="D29" s="491">
        <f>SUM(D17:D28)</f>
        <v>713900</v>
      </c>
      <c r="E29" s="492" t="s">
        <v>31</v>
      </c>
      <c r="F29" s="493"/>
      <c r="G29" s="494">
        <f>D29*5%</f>
        <v>35695</v>
      </c>
    </row>
    <row r="30" spans="2:7" ht="15" customHeight="1" x14ac:dyDescent="0.25">
      <c r="B30" s="10"/>
      <c r="C30" s="11"/>
      <c r="D30" s="375"/>
      <c r="E30" s="376"/>
      <c r="F30" s="365"/>
      <c r="G30" s="414"/>
    </row>
    <row r="31" spans="2:7" ht="41.45" customHeight="1" thickBot="1" x14ac:dyDescent="0.3">
      <c r="B31" s="318" t="s">
        <v>37</v>
      </c>
      <c r="C31" s="318"/>
      <c r="D31" s="318"/>
      <c r="E31" s="378"/>
      <c r="F31" s="366"/>
      <c r="G31" s="415"/>
    </row>
    <row r="32" spans="2:7" s="43" customFormat="1" ht="38.450000000000003" customHeight="1" x14ac:dyDescent="0.25">
      <c r="B32" s="503" t="s">
        <v>9</v>
      </c>
      <c r="C32" s="507" t="s">
        <v>165</v>
      </c>
      <c r="D32" s="481" t="s">
        <v>60</v>
      </c>
      <c r="E32" s="482" t="s">
        <v>10</v>
      </c>
      <c r="F32" s="388" t="s">
        <v>119</v>
      </c>
      <c r="G32" s="423" t="s">
        <v>93</v>
      </c>
    </row>
    <row r="33" spans="2:7" s="43" customFormat="1" ht="38.450000000000003" customHeight="1" thickBot="1" x14ac:dyDescent="0.3">
      <c r="B33" s="505"/>
      <c r="C33" s="516"/>
      <c r="D33" s="486"/>
      <c r="E33" s="487"/>
      <c r="F33" s="488"/>
      <c r="G33" s="517"/>
    </row>
    <row r="34" spans="2:7" s="43" customFormat="1" ht="35.1" customHeight="1" x14ac:dyDescent="0.25">
      <c r="B34" s="523">
        <v>1</v>
      </c>
      <c r="C34" s="524" t="s">
        <v>34</v>
      </c>
      <c r="D34" s="525">
        <v>74415</v>
      </c>
      <c r="E34" s="526" t="s">
        <v>35</v>
      </c>
      <c r="F34" s="527" t="s">
        <v>131</v>
      </c>
      <c r="G34" s="528">
        <f>D34*5%</f>
        <v>3720.75</v>
      </c>
    </row>
    <row r="35" spans="2:7" ht="35.1" customHeight="1" x14ac:dyDescent="0.25">
      <c r="B35" s="508">
        <v>2</v>
      </c>
      <c r="C35" s="509" t="s">
        <v>5</v>
      </c>
      <c r="D35" s="513">
        <v>90750</v>
      </c>
      <c r="E35" s="510" t="s">
        <v>38</v>
      </c>
      <c r="F35" s="511" t="s">
        <v>132</v>
      </c>
      <c r="G35" s="512">
        <f t="shared" ref="G35:G39" si="2">D35*5%</f>
        <v>4537.5</v>
      </c>
    </row>
    <row r="36" spans="2:7" s="43" customFormat="1" ht="35.1" customHeight="1" x14ac:dyDescent="0.25">
      <c r="B36" s="508">
        <v>3</v>
      </c>
      <c r="C36" s="509" t="s">
        <v>36</v>
      </c>
      <c r="D36" s="513">
        <v>84700</v>
      </c>
      <c r="E36" s="510" t="s">
        <v>39</v>
      </c>
      <c r="F36" s="514" t="s">
        <v>133</v>
      </c>
      <c r="G36" s="512">
        <f t="shared" si="2"/>
        <v>4235</v>
      </c>
    </row>
    <row r="37" spans="2:7" ht="35.1" customHeight="1" x14ac:dyDescent="0.25">
      <c r="B37" s="508">
        <v>4</v>
      </c>
      <c r="C37" s="509" t="s">
        <v>6</v>
      </c>
      <c r="D37" s="513">
        <v>106480</v>
      </c>
      <c r="E37" s="510" t="s">
        <v>40</v>
      </c>
      <c r="F37" s="514"/>
      <c r="G37" s="512">
        <f t="shared" si="2"/>
        <v>5324</v>
      </c>
    </row>
    <row r="38" spans="2:7" s="44" customFormat="1" ht="35.1" customHeight="1" x14ac:dyDescent="0.25">
      <c r="B38" s="508">
        <v>5</v>
      </c>
      <c r="C38" s="509" t="s">
        <v>98</v>
      </c>
      <c r="D38" s="513">
        <v>97460</v>
      </c>
      <c r="E38" s="515" t="s">
        <v>134</v>
      </c>
      <c r="F38" s="511" t="s">
        <v>132</v>
      </c>
      <c r="G38" s="512">
        <f t="shared" si="2"/>
        <v>4873</v>
      </c>
    </row>
    <row r="39" spans="2:7" ht="35.1" customHeight="1" thickBot="1" x14ac:dyDescent="0.3">
      <c r="B39" s="529">
        <v>6</v>
      </c>
      <c r="C39" s="530" t="s">
        <v>103</v>
      </c>
      <c r="D39" s="531">
        <v>116160</v>
      </c>
      <c r="E39" s="532" t="s">
        <v>135</v>
      </c>
      <c r="F39" s="533" t="s">
        <v>136</v>
      </c>
      <c r="G39" s="534">
        <f t="shared" si="2"/>
        <v>5808</v>
      </c>
    </row>
    <row r="40" spans="2:7" ht="20.100000000000001" customHeight="1" thickBot="1" x14ac:dyDescent="0.3">
      <c r="B40" s="518"/>
      <c r="C40" s="519"/>
      <c r="D40" s="520">
        <f>SUM(D34:D39)</f>
        <v>569965</v>
      </c>
      <c r="E40" s="521" t="s">
        <v>44</v>
      </c>
      <c r="F40" s="522"/>
      <c r="G40" s="494">
        <f>D40*5%</f>
        <v>28498.25</v>
      </c>
    </row>
    <row r="41" spans="2:7" ht="15" customHeight="1" x14ac:dyDescent="0.25">
      <c r="D41" s="379"/>
      <c r="G41" s="422"/>
    </row>
    <row r="42" spans="2:7" ht="41.45" customHeight="1" thickBot="1" x14ac:dyDescent="0.3">
      <c r="B42" s="337" t="s">
        <v>41</v>
      </c>
      <c r="C42" s="337"/>
      <c r="D42" s="381"/>
      <c r="E42" s="366"/>
      <c r="F42" s="366"/>
      <c r="G42" s="415"/>
    </row>
    <row r="43" spans="2:7" s="43" customFormat="1" ht="25.15" customHeight="1" x14ac:dyDescent="0.25">
      <c r="B43" s="503" t="s">
        <v>9</v>
      </c>
      <c r="C43" s="507" t="s">
        <v>165</v>
      </c>
      <c r="D43" s="481" t="s">
        <v>60</v>
      </c>
      <c r="E43" s="482" t="s">
        <v>10</v>
      </c>
      <c r="F43" s="388" t="s">
        <v>119</v>
      </c>
      <c r="G43" s="423" t="s">
        <v>93</v>
      </c>
    </row>
    <row r="44" spans="2:7" ht="15.75" thickBot="1" x14ac:dyDescent="0.3">
      <c r="B44" s="505"/>
      <c r="C44" s="516"/>
      <c r="D44" s="486"/>
      <c r="E44" s="487"/>
      <c r="F44" s="488"/>
      <c r="G44" s="517"/>
    </row>
    <row r="45" spans="2:7" s="44" customFormat="1" ht="31.15" customHeight="1" x14ac:dyDescent="0.25">
      <c r="B45" s="523">
        <v>1</v>
      </c>
      <c r="C45" s="524" t="s">
        <v>1</v>
      </c>
      <c r="D45" s="537">
        <v>111320</v>
      </c>
      <c r="E45" s="538" t="s">
        <v>42</v>
      </c>
      <c r="F45" s="539" t="s">
        <v>79</v>
      </c>
      <c r="G45" s="528">
        <f>D45*5%</f>
        <v>5566</v>
      </c>
    </row>
    <row r="46" spans="2:7" ht="34.5" customHeight="1" thickBot="1" x14ac:dyDescent="0.3">
      <c r="B46" s="529">
        <v>2</v>
      </c>
      <c r="C46" s="530" t="s">
        <v>43</v>
      </c>
      <c r="D46" s="531">
        <v>91960</v>
      </c>
      <c r="E46" s="540" t="s">
        <v>46</v>
      </c>
      <c r="F46" s="541"/>
      <c r="G46" s="534">
        <f>D46*5%</f>
        <v>4598</v>
      </c>
    </row>
    <row r="47" spans="2:7" ht="20.100000000000001" customHeight="1" thickBot="1" x14ac:dyDescent="0.3">
      <c r="B47" s="518"/>
      <c r="C47" s="519"/>
      <c r="D47" s="535">
        <f>SUM(D45:D46)</f>
        <v>203280</v>
      </c>
      <c r="E47" s="536" t="s">
        <v>45</v>
      </c>
      <c r="F47" s="522"/>
      <c r="G47" s="494">
        <f>D47*5%</f>
        <v>10164</v>
      </c>
    </row>
    <row r="48" spans="2:7" s="43" customFormat="1" ht="30" customHeight="1" x14ac:dyDescent="0.25">
      <c r="B48" s="1"/>
      <c r="C48"/>
      <c r="D48" s="380"/>
      <c r="E48" s="380"/>
      <c r="F48" s="361"/>
      <c r="G48" s="422"/>
    </row>
    <row r="49" spans="2:14" s="43" customFormat="1" ht="30" customHeight="1" thickBot="1" x14ac:dyDescent="0.3">
      <c r="B49" s="340" t="s">
        <v>52</v>
      </c>
      <c r="C49" s="340"/>
      <c r="D49" s="377"/>
      <c r="E49" s="366"/>
      <c r="F49" s="366"/>
      <c r="G49" s="415"/>
    </row>
    <row r="50" spans="2:14" s="43" customFormat="1" ht="30" customHeight="1" x14ac:dyDescent="0.25">
      <c r="B50" s="501" t="s">
        <v>9</v>
      </c>
      <c r="C50" s="303" t="s">
        <v>166</v>
      </c>
      <c r="D50" s="384" t="s">
        <v>60</v>
      </c>
      <c r="E50" s="371" t="s">
        <v>10</v>
      </c>
      <c r="F50" s="542" t="s">
        <v>119</v>
      </c>
      <c r="G50" s="423" t="s">
        <v>152</v>
      </c>
      <c r="H50" s="383"/>
      <c r="I50" s="383"/>
      <c r="J50" s="383"/>
      <c r="K50" s="383"/>
      <c r="L50" s="383"/>
      <c r="M50" s="383"/>
      <c r="N50" s="146"/>
    </row>
    <row r="51" spans="2:14" s="43" customFormat="1" ht="42.75" customHeight="1" thickBot="1" x14ac:dyDescent="0.3">
      <c r="B51" s="502"/>
      <c r="C51" s="304"/>
      <c r="D51" s="389"/>
      <c r="E51" s="372"/>
      <c r="F51" s="543"/>
      <c r="G51" s="424"/>
    </row>
    <row r="52" spans="2:14" s="43" customFormat="1" ht="37.5" customHeight="1" x14ac:dyDescent="0.25">
      <c r="B52" s="97">
        <v>1</v>
      </c>
      <c r="C52" s="394" t="s">
        <v>53</v>
      </c>
      <c r="D52" s="411">
        <v>102245</v>
      </c>
      <c r="E52" s="387" t="s">
        <v>130</v>
      </c>
      <c r="F52" s="544" t="s">
        <v>128</v>
      </c>
      <c r="G52" s="425">
        <f>D52*5%</f>
        <v>5112.25</v>
      </c>
    </row>
    <row r="53" spans="2:14" s="43" customFormat="1" ht="44.25" customHeight="1" x14ac:dyDescent="0.25">
      <c r="B53" s="50">
        <v>2</v>
      </c>
      <c r="C53" s="148" t="s">
        <v>48</v>
      </c>
      <c r="D53" s="409">
        <v>477994</v>
      </c>
      <c r="E53" s="387" t="s">
        <v>138</v>
      </c>
      <c r="F53" s="544" t="s">
        <v>167</v>
      </c>
      <c r="G53" s="425">
        <f t="shared" ref="G53:G58" si="3">D53*5%</f>
        <v>23899.7</v>
      </c>
    </row>
    <row r="54" spans="2:14" s="43" customFormat="1" ht="37.5" customHeight="1" x14ac:dyDescent="0.25">
      <c r="B54" s="50">
        <v>3</v>
      </c>
      <c r="C54" s="148" t="s">
        <v>49</v>
      </c>
      <c r="D54" s="409">
        <v>62315</v>
      </c>
      <c r="E54" s="387" t="s">
        <v>139</v>
      </c>
      <c r="F54" s="544" t="s">
        <v>128</v>
      </c>
      <c r="G54" s="425">
        <f t="shared" si="3"/>
        <v>3115.75</v>
      </c>
    </row>
    <row r="55" spans="2:14" s="43" customFormat="1" ht="39.75" customHeight="1" x14ac:dyDescent="0.25">
      <c r="B55" s="50">
        <v>4</v>
      </c>
      <c r="C55" s="148" t="s">
        <v>50</v>
      </c>
      <c r="D55" s="409">
        <v>45375</v>
      </c>
      <c r="E55" s="387" t="s">
        <v>140</v>
      </c>
      <c r="F55" s="544" t="s">
        <v>128</v>
      </c>
      <c r="G55" s="425">
        <f t="shared" si="3"/>
        <v>2268.75</v>
      </c>
    </row>
    <row r="56" spans="2:14" s="43" customFormat="1" ht="35.25" customHeight="1" x14ac:dyDescent="0.25">
      <c r="B56" s="50">
        <v>5</v>
      </c>
      <c r="C56" s="148" t="s">
        <v>54</v>
      </c>
      <c r="D56" s="409">
        <v>518364</v>
      </c>
      <c r="E56" s="387" t="s">
        <v>141</v>
      </c>
      <c r="F56" s="544" t="s">
        <v>128</v>
      </c>
      <c r="G56" s="425">
        <f t="shared" si="3"/>
        <v>25918.2</v>
      </c>
    </row>
    <row r="57" spans="2:14" ht="46.5" customHeight="1" x14ac:dyDescent="0.25">
      <c r="B57" s="50">
        <v>6</v>
      </c>
      <c r="C57" s="148" t="s">
        <v>55</v>
      </c>
      <c r="D57" s="409">
        <v>93654</v>
      </c>
      <c r="E57" s="387" t="s">
        <v>142</v>
      </c>
      <c r="F57" s="544" t="s">
        <v>128</v>
      </c>
      <c r="G57" s="425">
        <f t="shared" si="3"/>
        <v>4682.7</v>
      </c>
    </row>
    <row r="58" spans="2:14" ht="33.75" customHeight="1" thickBot="1" x14ac:dyDescent="0.3">
      <c r="B58" s="52">
        <v>7</v>
      </c>
      <c r="C58" s="149" t="s">
        <v>51</v>
      </c>
      <c r="D58" s="410">
        <v>342067</v>
      </c>
      <c r="E58" s="387" t="s">
        <v>137</v>
      </c>
      <c r="F58" s="545" t="s">
        <v>129</v>
      </c>
      <c r="G58" s="425">
        <f t="shared" si="3"/>
        <v>17103.350000000002</v>
      </c>
    </row>
    <row r="59" spans="2:14" ht="20.100000000000001" customHeight="1" thickBot="1" x14ac:dyDescent="0.3">
      <c r="B59" s="391"/>
      <c r="C59" s="392"/>
      <c r="D59" s="412">
        <f t="shared" ref="D59" si="4">SUM(D52:D58)</f>
        <v>1642014</v>
      </c>
      <c r="E59" s="427" t="s">
        <v>73</v>
      </c>
      <c r="F59" s="393"/>
      <c r="G59" s="421">
        <f>SUM(G52:G58)</f>
        <v>82100.7</v>
      </c>
    </row>
    <row r="60" spans="2:14" ht="17.25" x14ac:dyDescent="0.25">
      <c r="B60" s="90"/>
      <c r="C60" s="90"/>
      <c r="D60" s="379"/>
      <c r="E60" s="382"/>
      <c r="F60" s="367"/>
      <c r="G60" s="426"/>
    </row>
    <row r="61" spans="2:14" ht="20.25" thickBot="1" x14ac:dyDescent="0.3">
      <c r="B61" s="340" t="s">
        <v>143</v>
      </c>
      <c r="C61" s="318"/>
      <c r="D61" s="318"/>
      <c r="E61" s="378"/>
      <c r="F61" s="366"/>
      <c r="G61" s="415"/>
    </row>
    <row r="62" spans="2:14" x14ac:dyDescent="0.25">
      <c r="B62" s="501" t="s">
        <v>9</v>
      </c>
      <c r="C62" s="303" t="s">
        <v>146</v>
      </c>
      <c r="D62" s="384" t="s">
        <v>60</v>
      </c>
      <c r="E62" s="371" t="s">
        <v>10</v>
      </c>
      <c r="F62" s="363" t="s">
        <v>119</v>
      </c>
      <c r="G62" s="416" t="s">
        <v>152</v>
      </c>
    </row>
    <row r="63" spans="2:14" ht="15.75" thickBot="1" x14ac:dyDescent="0.3">
      <c r="B63" s="502"/>
      <c r="C63" s="304"/>
      <c r="D63" s="389"/>
      <c r="E63" s="372"/>
      <c r="F63" s="364"/>
      <c r="G63" s="417"/>
    </row>
    <row r="64" spans="2:14" ht="35.1" customHeight="1" x14ac:dyDescent="0.25">
      <c r="B64" s="97">
        <v>1</v>
      </c>
      <c r="C64" s="394" t="s">
        <v>149</v>
      </c>
      <c r="D64" s="432">
        <v>45000</v>
      </c>
      <c r="E64" s="399" t="s">
        <v>144</v>
      </c>
      <c r="F64" s="400" t="s">
        <v>145</v>
      </c>
      <c r="G64" s="418">
        <f>D64*5%</f>
        <v>2250</v>
      </c>
    </row>
    <row r="65" spans="2:7" ht="35.1" customHeight="1" x14ac:dyDescent="0.25">
      <c r="B65" s="50">
        <v>2</v>
      </c>
      <c r="C65" s="148" t="s">
        <v>148</v>
      </c>
      <c r="D65" s="429">
        <v>35000</v>
      </c>
      <c r="E65" s="395" t="s">
        <v>154</v>
      </c>
      <c r="F65" s="396" t="s">
        <v>150</v>
      </c>
      <c r="G65" s="419">
        <f>D65*5%</f>
        <v>1750</v>
      </c>
    </row>
    <row r="66" spans="2:7" ht="35.1" customHeight="1" x14ac:dyDescent="0.25">
      <c r="B66" s="50">
        <v>3</v>
      </c>
      <c r="C66" s="148" t="s">
        <v>148</v>
      </c>
      <c r="D66" s="429">
        <v>46000</v>
      </c>
      <c r="E66" s="428" t="s">
        <v>153</v>
      </c>
      <c r="F66" s="396" t="s">
        <v>155</v>
      </c>
      <c r="G66" s="419">
        <f>D66*5%</f>
        <v>2300</v>
      </c>
    </row>
    <row r="67" spans="2:7" ht="35.1" customHeight="1" thickBot="1" x14ac:dyDescent="0.3">
      <c r="B67" s="52">
        <v>4</v>
      </c>
      <c r="C67" s="149" t="s">
        <v>151</v>
      </c>
      <c r="D67" s="430">
        <v>44957</v>
      </c>
      <c r="E67" s="397" t="s">
        <v>157</v>
      </c>
      <c r="F67" s="398" t="s">
        <v>156</v>
      </c>
      <c r="G67" s="420">
        <f>D67*5%</f>
        <v>2247.85</v>
      </c>
    </row>
    <row r="68" spans="2:7" ht="20.100000000000001" customHeight="1" thickBot="1" x14ac:dyDescent="0.3">
      <c r="B68" s="391"/>
      <c r="C68" s="392"/>
      <c r="D68" s="431">
        <f>SUM(D64:D67)</f>
        <v>170957</v>
      </c>
      <c r="E68" s="427" t="s">
        <v>147</v>
      </c>
      <c r="F68" s="403"/>
      <c r="G68" s="421">
        <f>D68*5%</f>
        <v>8547.85</v>
      </c>
    </row>
    <row r="69" spans="2:7" ht="15.75" thickBot="1" x14ac:dyDescent="0.3">
      <c r="D69" s="379"/>
    </row>
    <row r="70" spans="2:7" ht="17.25" customHeight="1" x14ac:dyDescent="0.25">
      <c r="B70" s="443"/>
      <c r="C70" s="444"/>
      <c r="D70" s="448" t="s">
        <v>164</v>
      </c>
      <c r="E70" s="449" t="s">
        <v>163</v>
      </c>
      <c r="F70" s="454"/>
      <c r="G70" s="450" t="s">
        <v>152</v>
      </c>
    </row>
    <row r="71" spans="2:7" ht="15.75" thickBot="1" x14ac:dyDescent="0.3">
      <c r="B71" s="443"/>
      <c r="C71" s="444"/>
      <c r="D71" s="451"/>
      <c r="E71" s="452"/>
      <c r="F71" s="455"/>
      <c r="G71" s="453"/>
    </row>
    <row r="72" spans="2:7" ht="20.100000000000001" customHeight="1" x14ac:dyDescent="0.3">
      <c r="D72" s="456">
        <f>D68+D59+D47+D40+D29+D13</f>
        <v>4944506</v>
      </c>
      <c r="E72" s="457" t="s">
        <v>162</v>
      </c>
      <c r="F72" s="458"/>
      <c r="G72" s="459">
        <f>G68+G59+G47+G40+G29+G13</f>
        <v>247225.3</v>
      </c>
    </row>
    <row r="73" spans="2:7" ht="20.100000000000001" customHeight="1" x14ac:dyDescent="0.3">
      <c r="D73" s="460">
        <v>964800</v>
      </c>
      <c r="E73" s="461" t="s">
        <v>160</v>
      </c>
      <c r="F73" s="462"/>
      <c r="G73" s="463">
        <f>D73*5%</f>
        <v>48240</v>
      </c>
    </row>
    <row r="74" spans="2:7" s="438" customFormat="1" ht="20.100000000000001" customHeight="1" x14ac:dyDescent="0.3">
      <c r="B74" s="1"/>
      <c r="C74"/>
      <c r="D74" s="439">
        <f>D72+D73</f>
        <v>5909306</v>
      </c>
      <c r="E74" s="440" t="s">
        <v>159</v>
      </c>
      <c r="F74" s="441"/>
      <c r="G74" s="442">
        <f>G72+G73</f>
        <v>295465.3</v>
      </c>
    </row>
    <row r="75" spans="2:7" ht="20.100000000000001" customHeight="1" thickBot="1" x14ac:dyDescent="0.3">
      <c r="D75" s="464">
        <f>D74*15%</f>
        <v>886395.9</v>
      </c>
      <c r="E75" s="467" t="s">
        <v>161</v>
      </c>
      <c r="F75" s="465"/>
      <c r="G75" s="466">
        <f>D75*5%</f>
        <v>44319.795000000006</v>
      </c>
    </row>
    <row r="76" spans="2:7" ht="19.5" thickBot="1" x14ac:dyDescent="0.35">
      <c r="B76" s="436"/>
      <c r="C76" s="437"/>
      <c r="D76" s="445">
        <f>D74+D75</f>
        <v>6795701.9000000004</v>
      </c>
      <c r="E76" s="446" t="s">
        <v>158</v>
      </c>
      <c r="F76" s="446"/>
      <c r="G76" s="447">
        <f>G74+G75</f>
        <v>339785.09499999997</v>
      </c>
    </row>
    <row r="77" spans="2:7" ht="17.25" x14ac:dyDescent="0.25">
      <c r="C77" s="361"/>
      <c r="D77" s="434"/>
      <c r="E77" s="433"/>
      <c r="G77" s="435"/>
    </row>
    <row r="78" spans="2:7" x14ac:dyDescent="0.25">
      <c r="G78" s="30"/>
    </row>
  </sheetData>
  <mergeCells count="54">
    <mergeCell ref="B70:B71"/>
    <mergeCell ref="C70:C71"/>
    <mergeCell ref="D70:D71"/>
    <mergeCell ref="G70:G71"/>
    <mergeCell ref="E70:F71"/>
    <mergeCell ref="G15:G16"/>
    <mergeCell ref="E76:F76"/>
    <mergeCell ref="B15:B16"/>
    <mergeCell ref="C15:C16"/>
    <mergeCell ref="D15:D16"/>
    <mergeCell ref="E15:E16"/>
    <mergeCell ref="F15:F16"/>
    <mergeCell ref="B61:D61"/>
    <mergeCell ref="B62:B63"/>
    <mergeCell ref="C62:C63"/>
    <mergeCell ref="D62:D63"/>
    <mergeCell ref="E62:E63"/>
    <mergeCell ref="B31:D31"/>
    <mergeCell ref="F36:F37"/>
    <mergeCell ref="F62:F63"/>
    <mergeCell ref="G50:G51"/>
    <mergeCell ref="B59:C59"/>
    <mergeCell ref="G62:G63"/>
    <mergeCell ref="B68:C68"/>
    <mergeCell ref="G43:G44"/>
    <mergeCell ref="F45:F46"/>
    <mergeCell ref="B47:C47"/>
    <mergeCell ref="B49:C49"/>
    <mergeCell ref="B50:B51"/>
    <mergeCell ref="C50:C51"/>
    <mergeCell ref="D50:D51"/>
    <mergeCell ref="E50:E51"/>
    <mergeCell ref="F50:F51"/>
    <mergeCell ref="G32:G33"/>
    <mergeCell ref="B40:C40"/>
    <mergeCell ref="B42:C42"/>
    <mergeCell ref="B43:B44"/>
    <mergeCell ref="C43:C44"/>
    <mergeCell ref="D43:D44"/>
    <mergeCell ref="E43:E44"/>
    <mergeCell ref="F43:F44"/>
    <mergeCell ref="G7:G8"/>
    <mergeCell ref="C9:C12"/>
    <mergeCell ref="F17:F28"/>
    <mergeCell ref="B32:B33"/>
    <mergeCell ref="C32:C33"/>
    <mergeCell ref="D32:D33"/>
    <mergeCell ref="E32:E33"/>
    <mergeCell ref="F32:F33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8" scale="54" orientation="portrait" r:id="rId1"/>
  <ignoredErrors>
    <ignoredError sqref="D75 G74:G7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Rozpis cen dokumentů</vt:lpstr>
      <vt:lpstr>Strat. dokumenty</vt:lpstr>
      <vt:lpstr>Ceny všech jednoduchá tab.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2022-11-18T12:11:45Z</dcterms:modified>
</cp:coreProperties>
</file>